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2\22\"/>
    </mc:Choice>
  </mc:AlternateContent>
  <xr:revisionPtr revIDLastSave="0" documentId="13_ncr:1_{B3E2E4B2-040C-49BB-B11F-2367EE4191C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1" i="4" l="1"/>
  <c r="AD40" i="4"/>
  <c r="AD28" i="4"/>
  <c r="AD26" i="4"/>
  <c r="AD39" i="4"/>
  <c r="AD36" i="4"/>
  <c r="AD25" i="4"/>
  <c r="AD48" i="4"/>
  <c r="AD53" i="4" l="1"/>
  <c r="AD20" i="4"/>
  <c r="AD19" i="4"/>
  <c r="AD16" i="4"/>
  <c r="AD15" i="4"/>
  <c r="AF15" i="4" s="1"/>
  <c r="AD10" i="4"/>
  <c r="AF10" i="4" s="1"/>
  <c r="AC54" i="4"/>
  <c r="AC53" i="4"/>
  <c r="AC52" i="4"/>
  <c r="AC50" i="4"/>
  <c r="AC49" i="4"/>
  <c r="AC48" i="4"/>
  <c r="AC45" i="4"/>
  <c r="AC41" i="4"/>
  <c r="AC40" i="4"/>
  <c r="AC38" i="4" s="1"/>
  <c r="AC37" i="4" s="1"/>
  <c r="AC39" i="4"/>
  <c r="AC36" i="4"/>
  <c r="AC32" i="4"/>
  <c r="AC31" i="4"/>
  <c r="AC29" i="4"/>
  <c r="AC27" i="4"/>
  <c r="AC26" i="4"/>
  <c r="AC25" i="4"/>
  <c r="AC24" i="4"/>
  <c r="AC23" i="4" s="1"/>
  <c r="AC22" i="4" s="1"/>
  <c r="AC20" i="4"/>
  <c r="AC17" i="4"/>
  <c r="AC9" i="4" s="1"/>
  <c r="V26" i="4"/>
  <c r="V18" i="4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V28" i="4"/>
  <c r="AB28" i="4"/>
  <c r="AB26" i="4"/>
  <c r="AC7" i="4" l="1"/>
  <c r="AC8" i="4" s="1"/>
  <c r="AD5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9" i="4"/>
  <c r="T17" i="4"/>
  <c r="T24" i="4"/>
  <c r="T23" i="4" s="1"/>
  <c r="T27" i="4"/>
  <c r="T29" i="4"/>
  <c r="T31" i="4"/>
  <c r="T37" i="4"/>
  <c r="T38" i="4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AQ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U17" i="4" l="1"/>
  <c r="AN11" i="4"/>
  <c r="AQ11" i="4"/>
  <c r="AN56" i="4"/>
  <c r="AO56" i="4"/>
  <c r="AK56" i="4"/>
  <c r="AQ62" i="4"/>
  <c r="Y54" i="4"/>
  <c r="AQ43" i="4"/>
  <c r="AN19" i="4"/>
  <c r="AQ19" i="4"/>
  <c r="AH61" i="4"/>
  <c r="AL57" i="4"/>
  <c r="AO57" i="4"/>
  <c r="AN58" i="4"/>
  <c r="AO58" i="4"/>
  <c r="AO14" i="4"/>
  <c r="AQ14" i="4"/>
  <c r="AO15" i="4"/>
  <c r="AQ15" i="4"/>
  <c r="AO16" i="4"/>
  <c r="AQ16" i="4"/>
  <c r="AK12" i="4"/>
  <c r="AQ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J63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S24" i="4" l="1"/>
  <c r="AO24" i="4"/>
  <c r="AF9" i="4"/>
  <c r="AQ17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<sst xmlns="http://schemas.openxmlformats.org/spreadsheetml/2006/main" count="133" uniqueCount="109">
  <si>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</si>
  <si>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</si>
  <si>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</si>
  <si>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</si>
  <si>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</si>
  <si>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</si>
  <si>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</si>
  <si>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</si>
  <si>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</si>
  <si>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</si>
  <si>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</si>
  <si>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</si>
  <si>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</si>
  <si>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</si>
  <si>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</si>
  <si>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</si>
  <si>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</si>
  <si>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</si>
  <si>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</si>
  <si>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</si>
  <si>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</si>
  <si>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</si>
  <si>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</si>
  <si>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</si>
  <si>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</si>
  <si>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</si>
  <si>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</si>
  <si>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</si>
  <si>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</si>
  <si>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</si>
  <si>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</si>
  <si>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</si>
  <si>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</si>
  <si>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</si>
  <si>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</si>
  <si>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</si>
  <si>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</si>
  <si>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</si>
  <si>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</si>
  <si>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</si>
  <si>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</si>
  <si>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</si>
  <si>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</si>
  <si>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</si>
  <si>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</si>
  <si>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</si>
  <si>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</si>
  <si>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</si>
  <si>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</si>
  <si>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</si>
  <si>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</si>
  <si>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</si>
  <si>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</si>
  <si>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</si>
  <si>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</si>
  <si>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</si>
  <si>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</si>
  <si>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</si>
  <si>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</si>
  <si>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</si>
  <si>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</si>
  <si>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</si>
  <si>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</si>
  <si>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</si>
  <si>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</si>
  <si>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</si>
  <si>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</si>
  <si>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</si>
  <si>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</si>
  <si>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</si>
  <si>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</si>
  <si>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</si>
  <si>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</si>
  <si>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</si>
  <si>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</si>
  <si>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</si>
  <si>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</si>
  <si>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</si>
  <si>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</si>
  <si>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</si>
  <si>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</si>
  <si>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</si>
  <si>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</si>
  <si>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</si>
  <si>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</si>
  <si>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</si>
  <si>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</si>
  <si>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</si>
  <si>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</si>
  <si>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</si>
  <si>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</si>
  <si>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</si>
  <si>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</si>
  <si>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</si>
  <si>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</si>
  <si>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</si>
  <si>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</si>
  <si>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</si>
  <si>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на 2 месяца 2024 года</t>
  </si>
  <si>
    <t>откл.+- от плана за 2 месяца 2024 года</t>
  </si>
  <si>
    <t>Исполнение бюджета Благодарненского муниципального округа Ставропольского края по доходам по состоянию на 22.02.2024 года</t>
  </si>
  <si>
    <t>Исполнено с 01.01.2023 по 22.02.2023 год</t>
  </si>
  <si>
    <r>
      <t>Исполнено с 01.01.2023 года по 22.02.2023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</si>
  <si>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09.02.2024 по 15.02.2024 (неделя) П</t>
  </si>
  <si>
    <t>с 16.02.2024 по 22.02.2024 (неделя) Т</t>
  </si>
  <si>
    <t>Исполнение с 01.01.2024 по 15.02.2024
(53,08%)</t>
  </si>
  <si>
    <r>
      <t xml:space="preserve">Исполнение с 01.01.2024 по 22.02.2024
</t>
    </r>
    <r>
      <rPr>
        <b/>
        <sz val="14"/>
        <rFont val="Times New Roman"/>
        <family val="1"/>
        <charset val="204"/>
      </rPr>
      <t>(53,08%)</t>
    </r>
  </si>
  <si>
    <t>откл.+- от исполнения на 22.02.2023 г  (в сопоставимых условиях 2024 года)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</si>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</sst>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K60" sqref="AK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3.85546875" style="1" hidden="1" customWidth="1"/>
    <col min="23" max="23" width="21.7109375" style="1" hidden="1" customWidth="1"/>
    <col min="24" max="24" width="23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0.28515625" style="1" hidden="1" customWidth="1"/>
    <col min="29" max="29" width="22.140625" style="1" hidden="1" customWidth="1"/>
    <col min="30" max="30" width="22" style="1" hidden="1" customWidth="1"/>
    <col min="31" max="31" width="24.85546875" style="1" hidden="1" customWidth="1"/>
    <col min="32" max="32" width="26.285156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100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3.4314925479741141</v>
      </c>
      <c r="U3" s="104"/>
      <c r="V3" s="106">
        <f>V8/S8%</f>
        <v>3.7577879210697538</v>
      </c>
      <c r="W3" s="106"/>
      <c r="X3" s="105"/>
      <c r="Y3" s="80"/>
      <c r="Z3" s="80">
        <f>U3-Y63</f>
        <v>-308182066.99409539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29" t="s">
        <v>45</v>
      </c>
      <c r="K4" s="129" t="s">
        <v>51</v>
      </c>
      <c r="L4" s="136" t="s">
        <v>56</v>
      </c>
      <c r="M4" s="129" t="s">
        <v>54</v>
      </c>
      <c r="N4" s="129" t="s">
        <v>53</v>
      </c>
      <c r="O4" s="136" t="s">
        <v>50</v>
      </c>
      <c r="P4" s="129" t="s">
        <v>63</v>
      </c>
      <c r="Q4" s="136" t="s">
        <v>65</v>
      </c>
      <c r="R4" s="129" t="s">
        <v>64</v>
      </c>
      <c r="S4" s="128" t="s">
        <v>83</v>
      </c>
      <c r="T4" s="136" t="s">
        <v>82</v>
      </c>
      <c r="U4" s="129" t="s">
        <v>84</v>
      </c>
      <c r="V4" s="136" t="s">
        <v>101</v>
      </c>
      <c r="W4" s="139" t="s">
        <v>76</v>
      </c>
      <c r="X4" s="125" t="s">
        <v>81</v>
      </c>
      <c r="Y4" s="129" t="s">
        <v>102</v>
      </c>
      <c r="Z4" s="130" t="s">
        <v>66</v>
      </c>
      <c r="AA4" s="132" t="s">
        <v>97</v>
      </c>
      <c r="AB4" s="133"/>
      <c r="AC4" s="122" t="s">
        <v>57</v>
      </c>
      <c r="AD4" s="122"/>
      <c r="AE4" s="134" t="s">
        <v>105</v>
      </c>
      <c r="AF4" s="129" t="s">
        <v>106</v>
      </c>
      <c r="AG4" s="126" t="s">
        <v>43</v>
      </c>
      <c r="AH4" s="128" t="s">
        <v>67</v>
      </c>
      <c r="AI4" s="128"/>
      <c r="AJ4" s="122" t="s">
        <v>96</v>
      </c>
      <c r="AK4" s="122"/>
      <c r="AL4" s="122" t="s">
        <v>52</v>
      </c>
      <c r="AM4" s="122"/>
      <c r="AN4" s="122" t="s">
        <v>99</v>
      </c>
      <c r="AO4" s="122"/>
      <c r="AP4" s="122" t="s">
        <v>107</v>
      </c>
      <c r="AQ4" s="122"/>
      <c r="AR4" s="122" t="s">
        <v>55</v>
      </c>
      <c r="AS4" s="122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29"/>
      <c r="K5" s="129"/>
      <c r="L5" s="136"/>
      <c r="M5" s="129"/>
      <c r="N5" s="129"/>
      <c r="O5" s="136"/>
      <c r="P5" s="129"/>
      <c r="Q5" s="136"/>
      <c r="R5" s="129"/>
      <c r="S5" s="128"/>
      <c r="T5" s="136"/>
      <c r="U5" s="129"/>
      <c r="V5" s="136"/>
      <c r="W5" s="140"/>
      <c r="X5" s="125"/>
      <c r="Y5" s="129"/>
      <c r="Z5" s="131"/>
      <c r="AA5" s="41" t="s">
        <v>68</v>
      </c>
      <c r="AB5" s="107" t="s">
        <v>98</v>
      </c>
      <c r="AC5" s="79" t="s">
        <v>103</v>
      </c>
      <c r="AD5" s="79" t="s">
        <v>104</v>
      </c>
      <c r="AE5" s="135"/>
      <c r="AF5" s="129"/>
      <c r="AG5" s="127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3" t="s">
        <v>8</v>
      </c>
      <c r="C7" s="123"/>
      <c r="D7" s="123"/>
      <c r="E7" s="123"/>
      <c r="F7" s="123"/>
      <c r="G7" s="123"/>
      <c r="H7" s="123"/>
      <c r="I7" s="123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119615516.2155432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21001458.41</v>
      </c>
      <c r="W7" s="44">
        <f>V7/S7%</f>
        <v>5.1243510831590022</v>
      </c>
      <c r="X7" s="44">
        <f>X9+X22</f>
        <v>0</v>
      </c>
      <c r="Y7" s="44">
        <f>Y9+Y22</f>
        <v>26984411.854095474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48366164.789999999</v>
      </c>
      <c r="AC7" s="44">
        <f t="shared" ref="AC7:AD7" si="3">AC9+AC22</f>
        <v>2352005.7300000004</v>
      </c>
      <c r="AD7" s="44">
        <f t="shared" si="3"/>
        <v>3631495.3900000006</v>
      </c>
      <c r="AE7" s="44">
        <v>36358601.770000003</v>
      </c>
      <c r="AF7" s="44">
        <f t="shared" si="2"/>
        <v>39990097.160000004</v>
      </c>
      <c r="AG7" s="44">
        <f>AD7-AC7</f>
        <v>1279489.6600000001</v>
      </c>
      <c r="AH7" s="44">
        <f t="shared" ref="AH7:AH63" si="4">AF7-Z7</f>
        <v>-360425002.48999995</v>
      </c>
      <c r="AI7" s="44">
        <f t="shared" ref="AI7:AI28" si="5">AF7/Z7*100</f>
        <v>9.9871601233207894</v>
      </c>
      <c r="AJ7" s="44">
        <f>AF7-AA7</f>
        <v>-537584538.68000007</v>
      </c>
      <c r="AK7" s="44">
        <f>AF7/AA7%</f>
        <v>6.9237973204692596</v>
      </c>
      <c r="AL7" s="44" t="e">
        <f>AF7-#REF!</f>
        <v>#REF!</v>
      </c>
      <c r="AM7" s="44" t="e">
        <f>IF(#REF!=0,0,AF7/#REF!*100)</f>
        <v>#REF!</v>
      </c>
      <c r="AN7" s="44">
        <f>AF7-AB7</f>
        <v>-8376067.6299999952</v>
      </c>
      <c r="AO7" s="44">
        <f>AF7/AB7*100</f>
        <v>82.681968548947665</v>
      </c>
      <c r="AP7" s="44">
        <f>AF7-Y7</f>
        <v>13005685.30590453</v>
      </c>
      <c r="AQ7" s="44">
        <f>AF7/Y7%</f>
        <v>148.1970308496112</v>
      </c>
      <c r="AR7" s="44">
        <f>AF7-M7</f>
        <v>-79625419.055543184</v>
      </c>
      <c r="AS7" s="44">
        <f>IF(M7=0,0,AF7/M7*100)</f>
        <v>33.432198785932734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13906860.540000001</v>
      </c>
      <c r="W8" s="44">
        <f t="shared" ref="W8:W9" si="7">V8/S8%</f>
        <v>3.7577879210697538</v>
      </c>
      <c r="X8" s="52">
        <f t="shared" ref="X8:AB8" si="8">X7-X37-X53</f>
        <v>0</v>
      </c>
      <c r="Y8" s="52">
        <f t="shared" si="8"/>
        <v>19889813.984095473</v>
      </c>
      <c r="Z8" s="52">
        <f t="shared" si="8"/>
        <v>372608810</v>
      </c>
      <c r="AA8" s="52">
        <f t="shared" si="8"/>
        <v>545150607.50999999</v>
      </c>
      <c r="AB8" s="52">
        <f t="shared" si="8"/>
        <v>43671487.489999995</v>
      </c>
      <c r="AC8" s="52">
        <f t="shared" ref="AC8:AD8" si="9">AC7-AC37-AC53</f>
        <v>642588.85000000033</v>
      </c>
      <c r="AD8" s="52">
        <f t="shared" si="9"/>
        <v>1674038.6500000004</v>
      </c>
      <c r="AE8" s="52">
        <v>31804189.490000006</v>
      </c>
      <c r="AF8" s="52">
        <f>AF7-AF37-AF53</f>
        <v>33478228.140000008</v>
      </c>
      <c r="AG8" s="51">
        <f t="shared" ref="AG8:AG63" si="10">AD8-AC8</f>
        <v>1031449.8</v>
      </c>
      <c r="AH8" s="64">
        <f t="shared" si="4"/>
        <v>-339130581.86000001</v>
      </c>
      <c r="AI8" s="64">
        <f t="shared" si="5"/>
        <v>8.9848192639352806</v>
      </c>
      <c r="AJ8" s="51">
        <f t="shared" ref="AJ8:AJ62" si="11">AF8-AA8</f>
        <v>-511672379.37</v>
      </c>
      <c r="AK8" s="51">
        <f>AF8/AA8%</f>
        <v>6.1410970984538249</v>
      </c>
      <c r="AL8" s="51"/>
      <c r="AM8" s="51"/>
      <c r="AN8" s="64">
        <f t="shared" ref="AN8:AN63" si="12">AF8-AB8</f>
        <v>-10193259.349999987</v>
      </c>
      <c r="AO8" s="64">
        <f t="shared" ref="AO8:AO63" si="13">AF8/AB8*100</f>
        <v>76.659234810048403</v>
      </c>
      <c r="AP8" s="51">
        <f t="shared" ref="AP8:AP63" si="14">AF8-Y8</f>
        <v>13588414.155904535</v>
      </c>
      <c r="AQ8" s="51">
        <f>AF8/Y8%</f>
        <v>168.31845771292913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11096077.34</v>
      </c>
      <c r="W9" s="44">
        <f t="shared" si="7"/>
        <v>3.4314925479741141</v>
      </c>
      <c r="X9" s="70">
        <f t="shared" si="16"/>
        <v>0</v>
      </c>
      <c r="Y9" s="70">
        <f>Y10+Y11+Y12+Y13+Y14+Y15+Y16+Y17+Y20+Y21</f>
        <v>17079030.784095474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42742481</v>
      </c>
      <c r="AC9" s="70">
        <f t="shared" ref="AC9:AD9" si="17">AC10+AC11+AC12+AC13+AC14+AC15+AC16+AC17+AC20+AC21</f>
        <v>992424.19</v>
      </c>
      <c r="AD9" s="70">
        <f t="shared" si="17"/>
        <v>605347.38</v>
      </c>
      <c r="AE9" s="70">
        <v>29563502.98</v>
      </c>
      <c r="AF9" s="70">
        <f>AF10+AF11+AF12+AF13+AF14+AF15+AF16+AF17+AF20+AF21</f>
        <v>30168850.360000003</v>
      </c>
      <c r="AG9" s="71">
        <f t="shared" si="10"/>
        <v>-387076.80999999994</v>
      </c>
      <c r="AH9" s="72"/>
      <c r="AI9" s="72"/>
      <c r="AJ9" s="71">
        <f t="shared" si="11"/>
        <v>-463721487.14999998</v>
      </c>
      <c r="AK9" s="71">
        <f>AF9/AA9%</f>
        <v>6.1084107277942365</v>
      </c>
      <c r="AL9" s="73"/>
      <c r="AM9" s="73"/>
      <c r="AN9" s="72">
        <f t="shared" si="12"/>
        <v>-12573630.639999997</v>
      </c>
      <c r="AO9" s="72">
        <f t="shared" si="13"/>
        <v>70.582824520644934</v>
      </c>
      <c r="AP9" s="71">
        <f t="shared" si="14"/>
        <v>13089819.57590453</v>
      </c>
      <c r="AQ9" s="71">
        <f>AF9/Y9%</f>
        <v>176.64263705229794</v>
      </c>
      <c r="AR9" s="23"/>
      <c r="AS9" s="23"/>
      <c r="AT9" s="49"/>
    </row>
    <row r="10" spans="1:47" s="10" customFormat="1" ht="91.5" hidden="1" customHeight="1" x14ac:dyDescent="0.3">
      <c r="A10" s="9"/>
      <c r="B10" s="124" t="s">
        <v>26</v>
      </c>
      <c r="C10" s="124"/>
      <c r="D10" s="124"/>
      <c r="E10" s="124"/>
      <c r="F10" s="124"/>
      <c r="G10" s="124"/>
      <c r="H10" s="124"/>
      <c r="I10" s="124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8968796.5</v>
      </c>
      <c r="W10" s="12"/>
      <c r="X10" s="46"/>
      <c r="Y10" s="47">
        <f>V10/31.84%*53.08%</f>
        <v>14951749.944095476</v>
      </c>
      <c r="Z10" s="46">
        <v>188231000</v>
      </c>
      <c r="AA10" s="46">
        <v>340259137.50999999</v>
      </c>
      <c r="AB10" s="46">
        <v>32309053</v>
      </c>
      <c r="AC10" s="46">
        <v>580414.85</v>
      </c>
      <c r="AD10" s="46">
        <f>687519.88+176160.98-1.06-23755.98+451.18</f>
        <v>840375</v>
      </c>
      <c r="AE10" s="46">
        <v>19862684.370000001</v>
      </c>
      <c r="AF10" s="46">
        <f>AE10+AD10</f>
        <v>20703059.370000001</v>
      </c>
      <c r="AG10" s="46">
        <f t="shared" si="10"/>
        <v>259960.15000000002</v>
      </c>
      <c r="AH10" s="44">
        <f t="shared" si="4"/>
        <v>-167527940.63</v>
      </c>
      <c r="AI10" s="44">
        <f t="shared" si="5"/>
        <v>10.998751199324234</v>
      </c>
      <c r="AJ10" s="46">
        <f t="shared" si="11"/>
        <v>-319556078.13999999</v>
      </c>
      <c r="AK10" s="44">
        <f t="shared" ref="AK10:AK63" si="18">AF10/AA10%</f>
        <v>6.0844976924070266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-11605993.629999999</v>
      </c>
      <c r="AO10" s="44">
        <f t="shared" si="13"/>
        <v>64.078199289839915</v>
      </c>
      <c r="AP10" s="46">
        <f t="shared" si="14"/>
        <v>5751309.4259045254</v>
      </c>
      <c r="AQ10" s="44">
        <f t="shared" ref="AQ10:AQ19" si="19">AF10/Y10%</f>
        <v>138.46579462209203</v>
      </c>
      <c r="AR10" s="46">
        <f t="shared" ref="AR10:AR20" si="20">AF10-M10</f>
        <v>-38132390.725543216</v>
      </c>
      <c r="AS10" s="46">
        <f t="shared" ref="AS10:AS20" si="21">IF(M10=0,0,AF10/M10*100)</f>
        <v>35.188070009458897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18" t="s">
        <v>25</v>
      </c>
      <c r="C11" s="118"/>
      <c r="D11" s="118"/>
      <c r="E11" s="118"/>
      <c r="F11" s="118"/>
      <c r="G11" s="118"/>
      <c r="H11" s="118"/>
      <c r="I11" s="118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3636493.28</v>
      </c>
      <c r="W11" s="12"/>
      <c r="X11" s="12"/>
      <c r="Y11" s="12">
        <f t="shared" ref="Y11:Y16" si="22">V11</f>
        <v>3636493.28</v>
      </c>
      <c r="Z11" s="12">
        <v>28603900</v>
      </c>
      <c r="AA11" s="12">
        <v>32294200</v>
      </c>
      <c r="AB11" s="12">
        <v>5256360</v>
      </c>
      <c r="AC11" s="12">
        <v>167.21</v>
      </c>
      <c r="AD11" s="12">
        <v>0</v>
      </c>
      <c r="AE11" s="12">
        <v>2852201.01</v>
      </c>
      <c r="AF11" s="12">
        <f t="shared" ref="AF11:AF62" si="23">AE11+AD11</f>
        <v>2852201.01</v>
      </c>
      <c r="AG11" s="12">
        <f t="shared" si="10"/>
        <v>-167.21</v>
      </c>
      <c r="AH11" s="44">
        <f t="shared" si="4"/>
        <v>-25751698.990000002</v>
      </c>
      <c r="AI11" s="44">
        <f t="shared" si="5"/>
        <v>9.9713710717769253</v>
      </c>
      <c r="AJ11" s="12">
        <f t="shared" si="11"/>
        <v>-29441998.990000002</v>
      </c>
      <c r="AK11" s="44">
        <f t="shared" si="18"/>
        <v>8.8319296034582049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-2404158.9900000002</v>
      </c>
      <c r="AO11" s="44">
        <f>AF11/AB11*100</f>
        <v>54.261903865032068</v>
      </c>
      <c r="AP11" s="12">
        <f t="shared" si="14"/>
        <v>-784292.27</v>
      </c>
      <c r="AQ11" s="44">
        <f t="shared" si="19"/>
        <v>78.432731491256874</v>
      </c>
      <c r="AR11" s="12">
        <f t="shared" si="20"/>
        <v>-5041724.1000000006</v>
      </c>
      <c r="AS11" s="12">
        <f t="shared" si="21"/>
        <v>36.131594488866384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-12265.58</v>
      </c>
      <c r="W12" s="12"/>
      <c r="X12" s="12"/>
      <c r="Y12" s="12">
        <f t="shared" si="22"/>
        <v>-12265.58</v>
      </c>
      <c r="Z12" s="12">
        <v>11972000</v>
      </c>
      <c r="AA12" s="12">
        <v>27969000</v>
      </c>
      <c r="AB12" s="12">
        <v>225346</v>
      </c>
      <c r="AC12" s="12">
        <v>-133590.62</v>
      </c>
      <c r="AD12" s="12">
        <v>-8474.35</v>
      </c>
      <c r="AE12" s="12">
        <v>80622.360000000044</v>
      </c>
      <c r="AF12" s="12">
        <f t="shared" si="23"/>
        <v>72148.010000000038</v>
      </c>
      <c r="AG12" s="12">
        <f t="shared" si="10"/>
        <v>125116.26999999999</v>
      </c>
      <c r="AH12" s="44">
        <f t="shared" si="4"/>
        <v>-11899851.99</v>
      </c>
      <c r="AI12" s="44">
        <f t="shared" si="5"/>
        <v>0.602639575676579</v>
      </c>
      <c r="AJ12" s="12">
        <f t="shared" si="11"/>
        <v>-27896851.989999998</v>
      </c>
      <c r="AK12" s="44">
        <f t="shared" si="18"/>
        <v>0.25795705960170201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-153197.98999999996</v>
      </c>
      <c r="AO12" s="44">
        <f t="shared" si="13"/>
        <v>32.016547886361437</v>
      </c>
      <c r="AP12" s="12">
        <f t="shared" si="14"/>
        <v>84413.59000000004</v>
      </c>
      <c r="AQ12" s="44">
        <f t="shared" si="19"/>
        <v>-588.21523319728897</v>
      </c>
      <c r="AR12" s="12">
        <f t="shared" si="20"/>
        <v>72148.010000000038</v>
      </c>
      <c r="AS12" s="12">
        <f t="shared" si="21"/>
        <v>0</v>
      </c>
      <c r="AT12" s="34">
        <f>AF12</f>
        <v>72148.010000000038</v>
      </c>
    </row>
    <row r="13" spans="1:47" s="10" customFormat="1" ht="70.5" hidden="1" customHeight="1" x14ac:dyDescent="0.3">
      <c r="A13" s="9"/>
      <c r="B13" s="118" t="s">
        <v>24</v>
      </c>
      <c r="C13" s="118"/>
      <c r="D13" s="118"/>
      <c r="E13" s="118"/>
      <c r="F13" s="118"/>
      <c r="G13" s="118"/>
      <c r="H13" s="118"/>
      <c r="I13" s="118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-425992.69</v>
      </c>
      <c r="W13" s="12"/>
      <c r="X13" s="12"/>
      <c r="Y13" s="12">
        <f t="shared" si="22"/>
        <v>-425992.69</v>
      </c>
      <c r="Z13" s="12">
        <v>8000</v>
      </c>
      <c r="AA13" s="12">
        <v>0</v>
      </c>
      <c r="AB13" s="12">
        <v>0</v>
      </c>
      <c r="AC13" s="12">
        <v>132</v>
      </c>
      <c r="AD13" s="12">
        <v>860</v>
      </c>
      <c r="AE13" s="12">
        <v>1413.17</v>
      </c>
      <c r="AF13" s="12">
        <f t="shared" si="23"/>
        <v>2273.17</v>
      </c>
      <c r="AG13" s="12">
        <f t="shared" si="10"/>
        <v>728</v>
      </c>
      <c r="AH13" s="44">
        <f t="shared" si="4"/>
        <v>-5726.83</v>
      </c>
      <c r="AI13" s="44">
        <f t="shared" si="5"/>
        <v>28.414624999999997</v>
      </c>
      <c r="AJ13" s="12">
        <f t="shared" si="11"/>
        <v>2273.17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2273.17</v>
      </c>
      <c r="AO13" s="44">
        <v>0</v>
      </c>
      <c r="AP13" s="12">
        <f t="shared" si="14"/>
        <v>428265.86</v>
      </c>
      <c r="AQ13" s="44">
        <f t="shared" si="19"/>
        <v>-0.53361713789032383</v>
      </c>
      <c r="AR13" s="12">
        <f t="shared" si="20"/>
        <v>-5412405.6900000004</v>
      </c>
      <c r="AS13" s="12">
        <f t="shared" si="21"/>
        <v>4.1981621787261454E-2</v>
      </c>
      <c r="AT13" s="34">
        <f>AF13</f>
        <v>2273.17</v>
      </c>
      <c r="AU13" s="86" t="s">
        <v>75</v>
      </c>
    </row>
    <row r="14" spans="1:47" s="10" customFormat="1" ht="42.75" hidden="1" customHeight="1" x14ac:dyDescent="0.3">
      <c r="A14" s="9"/>
      <c r="B14" s="118" t="s">
        <v>23</v>
      </c>
      <c r="C14" s="118"/>
      <c r="D14" s="118"/>
      <c r="E14" s="118"/>
      <c r="F14" s="118"/>
      <c r="G14" s="118"/>
      <c r="H14" s="118"/>
      <c r="I14" s="118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307580.58</v>
      </c>
      <c r="W14" s="12"/>
      <c r="X14" s="12"/>
      <c r="Y14" s="12">
        <f t="shared" si="22"/>
        <v>307580.58</v>
      </c>
      <c r="Z14" s="12">
        <v>5814000</v>
      </c>
      <c r="AA14" s="12">
        <v>7692000</v>
      </c>
      <c r="AB14" s="12">
        <v>14133</v>
      </c>
      <c r="AC14" s="12">
        <v>0</v>
      </c>
      <c r="AD14" s="12">
        <v>-681121</v>
      </c>
      <c r="AE14" s="12">
        <v>18029</v>
      </c>
      <c r="AF14" s="12">
        <f t="shared" si="23"/>
        <v>-663092</v>
      </c>
      <c r="AG14" s="12">
        <f t="shared" si="10"/>
        <v>-681121</v>
      </c>
      <c r="AH14" s="44">
        <f t="shared" si="4"/>
        <v>-6477092</v>
      </c>
      <c r="AI14" s="44">
        <f t="shared" si="5"/>
        <v>-11.405091159270727</v>
      </c>
      <c r="AJ14" s="12">
        <f t="shared" si="11"/>
        <v>-8355092</v>
      </c>
      <c r="AK14" s="44">
        <f t="shared" si="18"/>
        <v>-8.6205408216328649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-677225</v>
      </c>
      <c r="AO14" s="44">
        <f t="shared" si="13"/>
        <v>-4691.7993348899736</v>
      </c>
      <c r="AP14" s="12">
        <f t="shared" si="14"/>
        <v>-970672.58000000007</v>
      </c>
      <c r="AQ14" s="44">
        <f t="shared" si="19"/>
        <v>-215.58318148694562</v>
      </c>
      <c r="AR14" s="12">
        <f t="shared" si="20"/>
        <v>-4230169.8599999994</v>
      </c>
      <c r="AS14" s="12">
        <f t="shared" si="21"/>
        <v>-18.58922137460717</v>
      </c>
      <c r="AT14" s="34">
        <f>AF14</f>
        <v>-663092</v>
      </c>
      <c r="AU14" s="86"/>
    </row>
    <row r="15" spans="1:47" s="10" customFormat="1" ht="99" hidden="1" customHeight="1" x14ac:dyDescent="0.3">
      <c r="A15" s="9"/>
      <c r="B15" s="118" t="s">
        <v>22</v>
      </c>
      <c r="C15" s="118"/>
      <c r="D15" s="118"/>
      <c r="E15" s="118"/>
      <c r="F15" s="118"/>
      <c r="G15" s="118"/>
      <c r="H15" s="118"/>
      <c r="I15" s="118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-373907.18</v>
      </c>
      <c r="W15" s="12"/>
      <c r="X15" s="12"/>
      <c r="Y15" s="12">
        <f t="shared" si="22"/>
        <v>-373907.18</v>
      </c>
      <c r="Z15" s="12">
        <v>8168000</v>
      </c>
      <c r="AA15" s="12">
        <v>6694000</v>
      </c>
      <c r="AB15" s="12">
        <v>2015776</v>
      </c>
      <c r="AC15" s="12">
        <v>41093.550000000003</v>
      </c>
      <c r="AD15" s="12">
        <f>756.3+8405.77</f>
        <v>9162.07</v>
      </c>
      <c r="AE15" s="12">
        <v>3774935.76</v>
      </c>
      <c r="AF15" s="12">
        <f t="shared" si="23"/>
        <v>3784097.8299999996</v>
      </c>
      <c r="AG15" s="12">
        <f t="shared" si="10"/>
        <v>-31931.480000000003</v>
      </c>
      <c r="AH15" s="44">
        <f t="shared" si="4"/>
        <v>-4383902.17</v>
      </c>
      <c r="AI15" s="44">
        <f t="shared" si="5"/>
        <v>46.328327987267379</v>
      </c>
      <c r="AJ15" s="12">
        <f t="shared" si="11"/>
        <v>-2909902.1700000004</v>
      </c>
      <c r="AK15" s="44">
        <f t="shared" si="18"/>
        <v>56.529695697639674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1768321.8299999996</v>
      </c>
      <c r="AO15" s="44">
        <f t="shared" si="13"/>
        <v>187.7241236129411</v>
      </c>
      <c r="AP15" s="12">
        <f t="shared" si="14"/>
        <v>4158005.01</v>
      </c>
      <c r="AQ15" s="44">
        <f t="shared" si="19"/>
        <v>-1012.0420340684551</v>
      </c>
      <c r="AR15" s="12">
        <f t="shared" si="20"/>
        <v>3642273.4699999997</v>
      </c>
      <c r="AS15" s="12">
        <f t="shared" si="21"/>
        <v>2668.1578749941123</v>
      </c>
      <c r="AT15" s="34">
        <f>AF15</f>
        <v>3784097.8299999996</v>
      </c>
      <c r="AU15" s="86"/>
    </row>
    <row r="16" spans="1:47" s="10" customFormat="1" ht="65.25" hidden="1" customHeight="1" x14ac:dyDescent="0.3">
      <c r="A16" s="9"/>
      <c r="B16" s="118" t="s">
        <v>21</v>
      </c>
      <c r="C16" s="118"/>
      <c r="D16" s="118"/>
      <c r="E16" s="118"/>
      <c r="F16" s="118"/>
      <c r="G16" s="118"/>
      <c r="H16" s="118"/>
      <c r="I16" s="118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-363479.07</v>
      </c>
      <c r="W16" s="12"/>
      <c r="X16" s="12"/>
      <c r="Y16" s="12">
        <f t="shared" si="22"/>
        <v>-363479.07</v>
      </c>
      <c r="Z16" s="12">
        <v>15443000</v>
      </c>
      <c r="AA16" s="12">
        <v>14460000</v>
      </c>
      <c r="AB16" s="12">
        <v>658400</v>
      </c>
      <c r="AC16" s="12">
        <v>67597.759999999995</v>
      </c>
      <c r="AD16" s="12">
        <f>44495.86+44528.79</f>
        <v>89024.65</v>
      </c>
      <c r="AE16" s="12">
        <v>696613</v>
      </c>
      <c r="AF16" s="12">
        <f t="shared" si="23"/>
        <v>785637.65</v>
      </c>
      <c r="AG16" s="12">
        <f t="shared" si="10"/>
        <v>21426.89</v>
      </c>
      <c r="AH16" s="44">
        <f t="shared" si="4"/>
        <v>-14657362.35</v>
      </c>
      <c r="AI16" s="44">
        <f t="shared" si="5"/>
        <v>5.0873382762416632</v>
      </c>
      <c r="AJ16" s="12">
        <f t="shared" si="11"/>
        <v>-13674362.35</v>
      </c>
      <c r="AK16" s="44">
        <f t="shared" si="18"/>
        <v>5.4331787690179807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127237.65000000002</v>
      </c>
      <c r="AO16" s="44">
        <f t="shared" si="13"/>
        <v>119.32528098420414</v>
      </c>
      <c r="AP16" s="12">
        <f t="shared" si="14"/>
        <v>1149116.72</v>
      </c>
      <c r="AQ16" s="44">
        <f t="shared" si="19"/>
        <v>-216.14384839270113</v>
      </c>
      <c r="AR16" s="12">
        <f t="shared" si="20"/>
        <v>-375041.23999999987</v>
      </c>
      <c r="AS16" s="12">
        <f t="shared" si="21"/>
        <v>67.687769353675421</v>
      </c>
      <c r="AT16" s="34">
        <v>11117000</v>
      </c>
      <c r="AU16" s="86"/>
    </row>
    <row r="17" spans="1:47" s="10" customFormat="1" ht="24" hidden="1" customHeight="1" x14ac:dyDescent="0.3">
      <c r="A17" s="9"/>
      <c r="B17" s="118" t="s">
        <v>19</v>
      </c>
      <c r="C17" s="118"/>
      <c r="D17" s="118"/>
      <c r="E17" s="118"/>
      <c r="F17" s="118"/>
      <c r="G17" s="118"/>
      <c r="H17" s="118"/>
      <c r="I17" s="118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-1394424.89</v>
      </c>
      <c r="W17" s="12"/>
      <c r="X17" s="12">
        <f t="shared" si="32"/>
        <v>0</v>
      </c>
      <c r="Y17" s="12">
        <f>Y18+Y19</f>
        <v>-1394424.89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1530169</v>
      </c>
      <c r="AC17" s="12">
        <f t="shared" ref="AC17:AD17" si="34">AC18+AC19</f>
        <v>242715.45</v>
      </c>
      <c r="AD17" s="12">
        <f t="shared" si="34"/>
        <v>188132.66999999998</v>
      </c>
      <c r="AE17" s="12">
        <v>1662359.27</v>
      </c>
      <c r="AF17" s="12">
        <f t="shared" si="31"/>
        <v>1850491.94</v>
      </c>
      <c r="AG17" s="12">
        <f t="shared" si="10"/>
        <v>-54582.780000000028</v>
      </c>
      <c r="AH17" s="44">
        <f t="shared" si="4"/>
        <v>-55638508.060000002</v>
      </c>
      <c r="AI17" s="44">
        <f t="shared" si="5"/>
        <v>3.2188626345909652</v>
      </c>
      <c r="AJ17" s="12">
        <f t="shared" si="11"/>
        <v>-54928508.060000002</v>
      </c>
      <c r="AK17" s="44">
        <f t="shared" si="18"/>
        <v>3.2591132989309428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320322.93999999994</v>
      </c>
      <c r="AO17" s="44">
        <f t="shared" si="13"/>
        <v>120.93382757068009</v>
      </c>
      <c r="AP17" s="12">
        <f t="shared" si="14"/>
        <v>3244916.83</v>
      </c>
      <c r="AQ17" s="44">
        <f t="shared" si="19"/>
        <v>-132.70646223189547</v>
      </c>
      <c r="AR17" s="12">
        <f t="shared" si="20"/>
        <v>-11800776.810000001</v>
      </c>
      <c r="AS17" s="12">
        <f t="shared" si="21"/>
        <v>13.55545754675733</v>
      </c>
      <c r="AT17" s="34">
        <f>AT18+AT19</f>
        <v>1850491.94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17301.31-1299</f>
        <v>16002.310000000001</v>
      </c>
      <c r="W18" s="53"/>
      <c r="X18" s="53"/>
      <c r="Y18" s="13">
        <f>V18</f>
        <v>16002.310000000001</v>
      </c>
      <c r="Z18" s="66">
        <v>23363753.050000001</v>
      </c>
      <c r="AA18" s="66">
        <v>22995495</v>
      </c>
      <c r="AB18" s="16">
        <v>525982</v>
      </c>
      <c r="AC18" s="13">
        <v>106670</v>
      </c>
      <c r="AD18" s="13">
        <v>5825.55</v>
      </c>
      <c r="AE18" s="13">
        <v>636255.90999999992</v>
      </c>
      <c r="AF18" s="13">
        <f t="shared" si="23"/>
        <v>642081.46</v>
      </c>
      <c r="AG18" s="13">
        <f t="shared" si="10"/>
        <v>-100844.45</v>
      </c>
      <c r="AH18" s="44">
        <f t="shared" si="4"/>
        <v>-22721671.59</v>
      </c>
      <c r="AI18" s="44">
        <f t="shared" si="5"/>
        <v>2.7481948581886759</v>
      </c>
      <c r="AJ18" s="13">
        <f t="shared" si="11"/>
        <v>-22353413.539999999</v>
      </c>
      <c r="AK18" s="44">
        <f t="shared" si="18"/>
        <v>2.7922054298026633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116099.45999999996</v>
      </c>
      <c r="AO18" s="44">
        <f t="shared" si="13"/>
        <v>122.07289603066265</v>
      </c>
      <c r="AP18" s="13">
        <f t="shared" si="14"/>
        <v>626079.14999999991</v>
      </c>
      <c r="AQ18" s="44">
        <f t="shared" si="19"/>
        <v>4012.4298304432295</v>
      </c>
      <c r="AR18" s="13">
        <f t="shared" si="20"/>
        <v>-9443535.0500000007</v>
      </c>
      <c r="AS18" s="13">
        <f t="shared" si="21"/>
        <v>6.3663084885625905</v>
      </c>
      <c r="AT18" s="31">
        <f>AF18</f>
        <v>642081.46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-1410427.2</v>
      </c>
      <c r="W19" s="53"/>
      <c r="X19" s="53"/>
      <c r="Y19" s="13">
        <f>V19</f>
        <v>-1410427.2</v>
      </c>
      <c r="Z19" s="66">
        <v>34125246.950000003</v>
      </c>
      <c r="AA19" s="66">
        <v>33783505</v>
      </c>
      <c r="AB19" s="16">
        <v>1004187</v>
      </c>
      <c r="AC19" s="13">
        <v>136045.45000000001</v>
      </c>
      <c r="AD19" s="13">
        <f>155997.95+26309.17</f>
        <v>182307.12</v>
      </c>
      <c r="AE19" s="13">
        <v>1026103.3600000001</v>
      </c>
      <c r="AF19" s="13">
        <f t="shared" si="23"/>
        <v>1208410.48</v>
      </c>
      <c r="AG19" s="13">
        <f t="shared" si="10"/>
        <v>46261.669999999984</v>
      </c>
      <c r="AH19" s="44">
        <f t="shared" si="4"/>
        <v>-32916836.470000003</v>
      </c>
      <c r="AI19" s="44">
        <f t="shared" si="5"/>
        <v>3.5411039860621427</v>
      </c>
      <c r="AJ19" s="13">
        <f t="shared" si="11"/>
        <v>-32575094.52</v>
      </c>
      <c r="AK19" s="44">
        <f t="shared" si="18"/>
        <v>3.5769245375812844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204223.47999999998</v>
      </c>
      <c r="AO19" s="44">
        <f t="shared" si="13"/>
        <v>120.33719615967942</v>
      </c>
      <c r="AP19" s="13">
        <f t="shared" si="14"/>
        <v>2618837.6799999997</v>
      </c>
      <c r="AQ19" s="44">
        <f t="shared" si="19"/>
        <v>-85.676912640368826</v>
      </c>
      <c r="AR19" s="13">
        <f t="shared" si="20"/>
        <v>-2357241.7600000002</v>
      </c>
      <c r="AS19" s="13">
        <f t="shared" si="21"/>
        <v>33.890306700240622</v>
      </c>
      <c r="AT19" s="31">
        <f>AF19</f>
        <v>1208410.48</v>
      </c>
      <c r="AU19" s="86"/>
    </row>
    <row r="20" spans="1:47" s="10" customFormat="1" ht="30.75" hidden="1" customHeight="1" x14ac:dyDescent="0.3">
      <c r="A20" s="9"/>
      <c r="B20" s="118" t="s">
        <v>18</v>
      </c>
      <c r="C20" s="118"/>
      <c r="D20" s="118"/>
      <c r="E20" s="118"/>
      <c r="F20" s="118"/>
      <c r="G20" s="118"/>
      <c r="H20" s="118"/>
      <c r="I20" s="118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753276.39</v>
      </c>
      <c r="W20" s="12"/>
      <c r="X20" s="12"/>
      <c r="Y20" s="12">
        <f>V20</f>
        <v>753276.39</v>
      </c>
      <c r="Z20" s="12">
        <v>7706000</v>
      </c>
      <c r="AA20" s="12">
        <v>7743000</v>
      </c>
      <c r="AB20" s="12">
        <v>733244</v>
      </c>
      <c r="AC20" s="12">
        <f>152961.81+40932.18</f>
        <v>193893.99</v>
      </c>
      <c r="AD20" s="12">
        <f>156573.93+10814.41</f>
        <v>167388.34</v>
      </c>
      <c r="AE20" s="12">
        <v>614645.04</v>
      </c>
      <c r="AF20" s="12">
        <f t="shared" si="23"/>
        <v>782033.38</v>
      </c>
      <c r="AG20" s="12">
        <f t="shared" si="10"/>
        <v>-26505.649999999994</v>
      </c>
      <c r="AH20" s="44">
        <f t="shared" si="4"/>
        <v>-6923966.6200000001</v>
      </c>
      <c r="AI20" s="44">
        <f t="shared" si="5"/>
        <v>10.148369841681806</v>
      </c>
      <c r="AJ20" s="12">
        <f t="shared" si="11"/>
        <v>-6960966.6200000001</v>
      </c>
      <c r="AK20" s="44">
        <f t="shared" si="18"/>
        <v>10.099875758749839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48789.380000000005</v>
      </c>
      <c r="AO20" s="44">
        <f t="shared" si="13"/>
        <v>106.65390783968229</v>
      </c>
      <c r="AP20" s="12">
        <f t="shared" si="14"/>
        <v>28756.989999999991</v>
      </c>
      <c r="AQ20" s="44">
        <f t="shared" ref="AQ20:AQ63" si="35">AF20/Y20%</f>
        <v>103.81758812326508</v>
      </c>
      <c r="AR20" s="12">
        <f t="shared" si="20"/>
        <v>-2291986.08</v>
      </c>
      <c r="AS20" s="12">
        <f t="shared" si="21"/>
        <v>25.440092041577383</v>
      </c>
      <c r="AT20" s="34">
        <f>AF20</f>
        <v>782033.38</v>
      </c>
      <c r="AU20" s="86"/>
    </row>
    <row r="21" spans="1:47" s="10" customFormat="1" ht="62.25" hidden="1" customHeight="1" x14ac:dyDescent="0.3">
      <c r="A21" s="9"/>
      <c r="B21" s="119" t="s">
        <v>58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9905381.0700000003</v>
      </c>
      <c r="W22" s="71"/>
      <c r="X22" s="71">
        <f t="shared" ref="X22:AB22" si="37">X23+X36+X37+X45+X48+X50</f>
        <v>0</v>
      </c>
      <c r="Y22" s="71">
        <f t="shared" si="37"/>
        <v>9905381.0700000003</v>
      </c>
      <c r="Z22" s="71">
        <f t="shared" si="37"/>
        <v>76980199.650000006</v>
      </c>
      <c r="AA22" s="71">
        <f t="shared" si="37"/>
        <v>83684298.329999998</v>
      </c>
      <c r="AB22" s="71">
        <f t="shared" si="37"/>
        <v>5623683.79</v>
      </c>
      <c r="AC22" s="71">
        <f t="shared" ref="AC22:AD22" si="38">AC23+AC36+AC37+AC45+AC48+AC50</f>
        <v>1359581.5400000003</v>
      </c>
      <c r="AD22" s="71">
        <f t="shared" si="38"/>
        <v>3026148.0100000007</v>
      </c>
      <c r="AE22" s="71">
        <v>6795098.790000001</v>
      </c>
      <c r="AF22" s="71">
        <f>AF23+AF36+AF37+AF45+AF48+AF50</f>
        <v>9821246.7999999989</v>
      </c>
      <c r="AG22" s="71">
        <f t="shared" ref="AG22" si="39">AD22-AC22</f>
        <v>1666566.4700000004</v>
      </c>
      <c r="AH22" s="72">
        <f t="shared" si="4"/>
        <v>-67158952.850000009</v>
      </c>
      <c r="AI22" s="72">
        <f t="shared" ref="AI22" si="40">AF22/Z22*100</f>
        <v>12.758146698311398</v>
      </c>
      <c r="AJ22" s="71">
        <f t="shared" si="11"/>
        <v>-73863051.530000001</v>
      </c>
      <c r="AK22" s="72">
        <f t="shared" ref="AK22" si="41">AF22/AA22%</f>
        <v>11.736068767967645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4197563.0099999988</v>
      </c>
      <c r="AO22" s="72">
        <f t="shared" ref="AO22" si="42">AF22/AB22*100</f>
        <v>174.64080781825038</v>
      </c>
      <c r="AP22" s="71">
        <f t="shared" si="14"/>
        <v>-84134.270000001416</v>
      </c>
      <c r="AQ22" s="72">
        <f t="shared" ref="AQ22" si="43">AF22/Y22%</f>
        <v>99.150620562647362</v>
      </c>
      <c r="AR22" s="12"/>
      <c r="AS22" s="12"/>
      <c r="AT22" s="34"/>
    </row>
    <row r="23" spans="1:47" s="10" customFormat="1" ht="83.25" hidden="1" customHeight="1" x14ac:dyDescent="0.3">
      <c r="A23" s="9"/>
      <c r="B23" s="118" t="s">
        <v>17</v>
      </c>
      <c r="C23" s="118"/>
      <c r="D23" s="118"/>
      <c r="E23" s="118"/>
      <c r="F23" s="118"/>
      <c r="G23" s="118"/>
      <c r="H23" s="118"/>
      <c r="I23" s="118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2293991.3099999996</v>
      </c>
      <c r="W23" s="12"/>
      <c r="X23" s="12">
        <f t="shared" si="46"/>
        <v>0</v>
      </c>
      <c r="Y23" s="12">
        <f>Y24+Y27+Y29+Y31</f>
        <v>2293991.3099999996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675712.49</v>
      </c>
      <c r="AC23" s="12">
        <f>AC24+AC27+AC29+AC31</f>
        <v>149747.46000000002</v>
      </c>
      <c r="AD23" s="12">
        <f>AD24+AD27+AD29+AD31</f>
        <v>883429.32000000007</v>
      </c>
      <c r="AE23" s="12">
        <v>1449748</v>
      </c>
      <c r="AF23" s="12">
        <f t="shared" si="44"/>
        <v>2333177.3200000003</v>
      </c>
      <c r="AG23" s="12">
        <f t="shared" si="10"/>
        <v>733681.8600000001</v>
      </c>
      <c r="AH23" s="44">
        <f t="shared" si="4"/>
        <v>-44695822.68</v>
      </c>
      <c r="AI23" s="44">
        <f t="shared" si="5"/>
        <v>4.9611459312339203</v>
      </c>
      <c r="AJ23" s="12">
        <f t="shared" si="11"/>
        <v>-47201012.68</v>
      </c>
      <c r="AK23" s="44">
        <f t="shared" si="18"/>
        <v>4.710236141945594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1657464.8300000003</v>
      </c>
      <c r="AO23" s="44">
        <f t="shared" si="13"/>
        <v>345.29143008737344</v>
      </c>
      <c r="AP23" s="12">
        <f t="shared" si="14"/>
        <v>39186.010000000708</v>
      </c>
      <c r="AQ23" s="44">
        <f t="shared" si="35"/>
        <v>101.70820219890027</v>
      </c>
      <c r="AR23" s="12">
        <f>AF23-M23</f>
        <v>-7905288.6699999981</v>
      </c>
      <c r="AS23" s="12">
        <f>IF(M23=0,0,AF23/M23*100)</f>
        <v>22.788348589318318</v>
      </c>
      <c r="AT23" s="34">
        <f>AT24+AT27+AT29+AT31</f>
        <v>2148746.2300000004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1979181.98</v>
      </c>
      <c r="W24" s="13"/>
      <c r="X24" s="13">
        <f t="shared" si="48"/>
        <v>0</v>
      </c>
      <c r="Y24" s="12">
        <f t="shared" si="48"/>
        <v>1979181.98</v>
      </c>
      <c r="Z24" s="12">
        <f t="shared" si="48"/>
        <v>46880510</v>
      </c>
      <c r="AA24" s="12">
        <f>AA25+AA26</f>
        <v>48200367.740000002</v>
      </c>
      <c r="AB24" s="12">
        <f>AB25+AB26</f>
        <v>432000</v>
      </c>
      <c r="AC24" s="12">
        <f>AC25+AC26</f>
        <v>66544.44</v>
      </c>
      <c r="AD24" s="12">
        <f>AD25+AD26</f>
        <v>813620.06</v>
      </c>
      <c r="AE24" s="12">
        <v>1075974.9100000001</v>
      </c>
      <c r="AF24" s="12">
        <f t="shared" ref="AF24" si="49">AF25+AF26</f>
        <v>1889594.9700000002</v>
      </c>
      <c r="AG24" s="12">
        <f>AD24-AC24</f>
        <v>747075.62000000011</v>
      </c>
      <c r="AH24" s="44">
        <f t="shared" si="4"/>
        <v>-44990915.030000001</v>
      </c>
      <c r="AI24" s="44">
        <f t="shared" si="5"/>
        <v>4.0306621451003846</v>
      </c>
      <c r="AJ24" s="12">
        <f t="shared" si="11"/>
        <v>-46310772.770000003</v>
      </c>
      <c r="AK24" s="44">
        <f t="shared" si="18"/>
        <v>3.9202916048125571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1457594.9700000002</v>
      </c>
      <c r="AO24" s="44">
        <f t="shared" si="13"/>
        <v>437.40624305555559</v>
      </c>
      <c r="AP24" s="12">
        <f t="shared" si="14"/>
        <v>-89587.009999999776</v>
      </c>
      <c r="AQ24" s="44">
        <f t="shared" si="35"/>
        <v>95.473533464568021</v>
      </c>
      <c r="AR24" s="12">
        <f>AF24-M24</f>
        <v>-7978549.6399999987</v>
      </c>
      <c r="AS24" s="12">
        <f>IF(M24=0,0,AF24/M24*100)</f>
        <v>19.148432098219935</v>
      </c>
      <c r="AT24" s="31">
        <f>AF24</f>
        <v>1889594.9700000002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552592.36</v>
      </c>
      <c r="W25" s="13"/>
      <c r="X25" s="13"/>
      <c r="Y25" s="13">
        <f>V25</f>
        <v>552592.36</v>
      </c>
      <c r="Z25" s="13">
        <v>34696660</v>
      </c>
      <c r="AA25" s="13">
        <v>36508280</v>
      </c>
      <c r="AB25" s="13">
        <v>197000</v>
      </c>
      <c r="AC25" s="13">
        <f>63541.18+724.44</f>
        <v>64265.62</v>
      </c>
      <c r="AD25" s="13">
        <f>650519.67+131933.52</f>
        <v>782453.19000000006</v>
      </c>
      <c r="AE25" s="13">
        <v>407442.28</v>
      </c>
      <c r="AF25" s="13">
        <f t="shared" si="23"/>
        <v>1189895.4700000002</v>
      </c>
      <c r="AG25" s="13">
        <f>AD25-AC25</f>
        <v>718187.57000000007</v>
      </c>
      <c r="AH25" s="44">
        <f t="shared" si="4"/>
        <v>-33506764.530000001</v>
      </c>
      <c r="AI25" s="44">
        <f t="shared" si="5"/>
        <v>3.4294236678688965</v>
      </c>
      <c r="AJ25" s="13">
        <f t="shared" si="11"/>
        <v>-35318384.530000001</v>
      </c>
      <c r="AK25" s="42">
        <f t="shared" si="18"/>
        <v>3.2592482308122985</v>
      </c>
      <c r="AL25" s="13"/>
      <c r="AM25" s="13"/>
      <c r="AN25" s="42">
        <f t="shared" si="12"/>
        <v>992895.4700000002</v>
      </c>
      <c r="AO25" s="42">
        <f t="shared" si="13"/>
        <v>604.00785279187824</v>
      </c>
      <c r="AP25" s="13">
        <f t="shared" si="14"/>
        <v>637303.11000000022</v>
      </c>
      <c r="AQ25" s="42">
        <f t="shared" si="35"/>
        <v>215.32969981705867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691012.87+735576.75</f>
        <v>1426589.62</v>
      </c>
      <c r="W26" s="16"/>
      <c r="X26" s="16"/>
      <c r="Y26" s="13">
        <f>V26</f>
        <v>1426589.62</v>
      </c>
      <c r="Z26" s="13">
        <v>12183850</v>
      </c>
      <c r="AA26" s="13">
        <f>6966987.74+4725100</f>
        <v>11692087.74</v>
      </c>
      <c r="AB26" s="13">
        <f>130000+105000</f>
        <v>235000</v>
      </c>
      <c r="AC26" s="13">
        <f>1928.82+350</f>
        <v>2278.8199999999997</v>
      </c>
      <c r="AD26" s="13">
        <f>28565.87+2601</f>
        <v>31166.87</v>
      </c>
      <c r="AE26" s="13">
        <v>668532.63</v>
      </c>
      <c r="AF26" s="13">
        <f t="shared" si="23"/>
        <v>699699.5</v>
      </c>
      <c r="AG26" s="13">
        <f>AD26-AC26</f>
        <v>28888.05</v>
      </c>
      <c r="AH26" s="44">
        <f t="shared" si="4"/>
        <v>-11484150.5</v>
      </c>
      <c r="AI26" s="44">
        <f t="shared" si="5"/>
        <v>5.7428440107191081</v>
      </c>
      <c r="AJ26" s="12">
        <f t="shared" si="11"/>
        <v>-10992388.24</v>
      </c>
      <c r="AK26" s="42">
        <f t="shared" si="18"/>
        <v>5.9843846159847587</v>
      </c>
      <c r="AL26" s="13"/>
      <c r="AM26" s="13"/>
      <c r="AN26" s="42">
        <f t="shared" si="12"/>
        <v>464699.5</v>
      </c>
      <c r="AO26" s="42">
        <f t="shared" si="13"/>
        <v>297.74446808510635</v>
      </c>
      <c r="AP26" s="13">
        <f t="shared" si="14"/>
        <v>-726890.12000000011</v>
      </c>
      <c r="AQ26" s="42">
        <f t="shared" si="35"/>
        <v>49.047006244164315</v>
      </c>
      <c r="AR26" s="12"/>
      <c r="AS26" s="12"/>
      <c r="AT26" s="31"/>
      <c r="AU26" s="108" t="s">
        <v>108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168183.34</v>
      </c>
      <c r="W27" s="13"/>
      <c r="X27" s="13"/>
      <c r="Y27" s="12">
        <f t="shared" si="51"/>
        <v>168183.34</v>
      </c>
      <c r="Z27" s="12">
        <f t="shared" si="51"/>
        <v>100490</v>
      </c>
      <c r="AA27" s="12">
        <f t="shared" si="51"/>
        <v>549832.26</v>
      </c>
      <c r="AB27" s="12">
        <f t="shared" si="51"/>
        <v>170254.17</v>
      </c>
      <c r="AC27" s="12">
        <f>AC28</f>
        <v>33180</v>
      </c>
      <c r="AD27" s="12">
        <f>AD28</f>
        <v>53028.31</v>
      </c>
      <c r="AE27" s="12">
        <v>206122.95</v>
      </c>
      <c r="AF27" s="12">
        <f t="shared" ref="AF27" si="52">AF28</f>
        <v>259151.26</v>
      </c>
      <c r="AG27" s="12">
        <f t="shared" si="10"/>
        <v>19848.309999999998</v>
      </c>
      <c r="AH27" s="44">
        <f t="shared" si="4"/>
        <v>158661.26</v>
      </c>
      <c r="AI27" s="44">
        <f t="shared" si="5"/>
        <v>257.8876107075331</v>
      </c>
      <c r="AJ27" s="12">
        <f t="shared" si="11"/>
        <v>-290681</v>
      </c>
      <c r="AK27" s="44">
        <f t="shared" si="18"/>
        <v>47.132785551724446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88897.09</v>
      </c>
      <c r="AO27" s="44">
        <f t="shared" si="13"/>
        <v>152.21433930223264</v>
      </c>
      <c r="AP27" s="12">
        <f t="shared" si="14"/>
        <v>90967.920000000013</v>
      </c>
      <c r="AQ27" s="44">
        <f t="shared" si="35"/>
        <v>154.08854408528217</v>
      </c>
      <c r="AR27" s="12">
        <f>AF27-M27</f>
        <v>-74574.580000000016</v>
      </c>
      <c r="AS27" s="12">
        <f>IF(M27=0,0,AF27/M27*100)</f>
        <v>77.653938933826637</v>
      </c>
      <c r="AT27" s="31">
        <f>AF27</f>
        <v>259151.26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54176.66+114006.68</f>
        <v>168183.34</v>
      </c>
      <c r="W28" s="16"/>
      <c r="X28" s="16"/>
      <c r="Y28" s="16">
        <f>V28</f>
        <v>168183.34</v>
      </c>
      <c r="Z28" s="16">
        <v>100490</v>
      </c>
      <c r="AA28" s="16">
        <f>109952.06+439880.2</f>
        <v>549832.26</v>
      </c>
      <c r="AB28" s="16">
        <f>41757.79+128496.38</f>
        <v>170254.17</v>
      </c>
      <c r="AC28" s="13">
        <v>33180</v>
      </c>
      <c r="AD28" s="13">
        <f>38212+14816.31</f>
        <v>53028.31</v>
      </c>
      <c r="AE28" s="13">
        <v>206122.95</v>
      </c>
      <c r="AF28" s="13">
        <f t="shared" si="23"/>
        <v>259151.26</v>
      </c>
      <c r="AG28" s="13">
        <f>AD28-AC28</f>
        <v>19848.309999999998</v>
      </c>
      <c r="AH28" s="44">
        <f t="shared" si="4"/>
        <v>158661.26</v>
      </c>
      <c r="AI28" s="44">
        <f t="shared" si="5"/>
        <v>257.8876107075331</v>
      </c>
      <c r="AJ28" s="13">
        <f t="shared" si="11"/>
        <v>-290681</v>
      </c>
      <c r="AK28" s="42">
        <f t="shared" si="18"/>
        <v>47.132785551724446</v>
      </c>
      <c r="AL28" s="16"/>
      <c r="AM28" s="16"/>
      <c r="AN28" s="42">
        <f t="shared" si="12"/>
        <v>88897.09</v>
      </c>
      <c r="AO28" s="42">
        <f t="shared" si="13"/>
        <v>152.21433930223264</v>
      </c>
      <c r="AP28" s="13">
        <f t="shared" si="14"/>
        <v>90967.920000000013</v>
      </c>
      <c r="AQ28" s="42">
        <f t="shared" si="35"/>
        <v>154.08854408528217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1" t="s">
        <v>16</v>
      </c>
      <c r="C29" s="121"/>
      <c r="D29" s="121"/>
      <c r="E29" s="121"/>
      <c r="F29" s="121"/>
      <c r="G29" s="121"/>
      <c r="H29" s="121"/>
      <c r="I29" s="121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0</v>
      </c>
      <c r="W29" s="12"/>
      <c r="X29" s="12">
        <f t="shared" si="54"/>
        <v>0</v>
      </c>
      <c r="Y29" s="12">
        <f>Y30</f>
        <v>0</v>
      </c>
      <c r="Z29" s="12">
        <f t="shared" si="53"/>
        <v>0</v>
      </c>
      <c r="AA29" s="12">
        <f t="shared" si="53"/>
        <v>60000</v>
      </c>
      <c r="AB29" s="12">
        <f t="shared" si="53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8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5">AF29-M29</f>
        <v>-13500</v>
      </c>
      <c r="AS29" s="12">
        <f t="shared" ref="AS29:AS38" si="56">IF(M29=0,0,AF29/M29*100)</f>
        <v>0</v>
      </c>
      <c r="AT29" s="34">
        <f t="shared" ref="AT29" si="57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3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8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5"/>
        <v>-13500</v>
      </c>
      <c r="AS30" s="12">
        <f t="shared" si="56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146625.99</v>
      </c>
      <c r="W31" s="12">
        <f t="shared" si="60"/>
        <v>0</v>
      </c>
      <c r="X31" s="12">
        <f t="shared" si="60"/>
        <v>0</v>
      </c>
      <c r="Y31" s="12">
        <f t="shared" si="60"/>
        <v>146625.99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73458.320000000007</v>
      </c>
      <c r="AC31" s="12">
        <f t="shared" ref="AC31:AD31" si="63">AC32+AC33+AC34+AC35</f>
        <v>50023.020000000004</v>
      </c>
      <c r="AD31" s="12">
        <f t="shared" si="63"/>
        <v>16780.949999999997</v>
      </c>
      <c r="AE31" s="12">
        <v>167650.14000000001</v>
      </c>
      <c r="AF31" s="12">
        <f t="shared" ref="AF31" si="64">AF32+AF33+AF34+AF35</f>
        <v>184431.09</v>
      </c>
      <c r="AG31" s="12">
        <f t="shared" si="10"/>
        <v>-33242.070000000007</v>
      </c>
      <c r="AH31" s="44">
        <f t="shared" si="4"/>
        <v>136431.09</v>
      </c>
      <c r="AI31" s="44">
        <v>0</v>
      </c>
      <c r="AJ31" s="12">
        <f t="shared" si="11"/>
        <v>-539558.91</v>
      </c>
      <c r="AK31" s="44">
        <f t="shared" si="18"/>
        <v>25.474259312973938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110972.76999999999</v>
      </c>
      <c r="AO31" s="44">
        <f t="shared" si="13"/>
        <v>251.0690279875717</v>
      </c>
      <c r="AP31" s="12">
        <f t="shared" si="14"/>
        <v>37805.100000000006</v>
      </c>
      <c r="AQ31" s="44">
        <f t="shared" si="35"/>
        <v>125.78335532465969</v>
      </c>
      <c r="AR31" s="12">
        <f t="shared" si="55"/>
        <v>161335.54999999999</v>
      </c>
      <c r="AS31" s="12">
        <f t="shared" si="56"/>
        <v>798.55716731455504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137814.25</v>
      </c>
      <c r="W32" s="13"/>
      <c r="X32" s="13"/>
      <c r="Y32" s="13">
        <f>V32</f>
        <v>137814.25</v>
      </c>
      <c r="Z32" s="13"/>
      <c r="AA32" s="13">
        <v>649240</v>
      </c>
      <c r="AB32" s="13">
        <v>50000</v>
      </c>
      <c r="AC32" s="114">
        <f>40623.3+9399.72</f>
        <v>50023.020000000004</v>
      </c>
      <c r="AD32" s="114">
        <v>11016.46</v>
      </c>
      <c r="AE32" s="13">
        <v>149269.14000000001</v>
      </c>
      <c r="AF32" s="13">
        <f t="shared" si="23"/>
        <v>160285.6</v>
      </c>
      <c r="AG32" s="13">
        <f t="shared" si="10"/>
        <v>-39006.560000000005</v>
      </c>
      <c r="AH32" s="44"/>
      <c r="AI32" s="44"/>
      <c r="AJ32" s="13">
        <f t="shared" si="11"/>
        <v>-488954.4</v>
      </c>
      <c r="AK32" s="42">
        <f t="shared" si="18"/>
        <v>24.688189267451175</v>
      </c>
      <c r="AL32" s="12"/>
      <c r="AM32" s="12"/>
      <c r="AN32" s="42">
        <f t="shared" si="12"/>
        <v>110285.6</v>
      </c>
      <c r="AO32" s="42">
        <f t="shared" si="13"/>
        <v>320.57120000000003</v>
      </c>
      <c r="AP32" s="13">
        <f t="shared" si="14"/>
        <v>22471.350000000006</v>
      </c>
      <c r="AQ32" s="42">
        <f t="shared" si="35"/>
        <v>116.30553444219304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3348.11</v>
      </c>
      <c r="W33" s="13"/>
      <c r="X33" s="13"/>
      <c r="Y33" s="13">
        <f t="shared" ref="Y33:Y35" si="66">V33</f>
        <v>3348.11</v>
      </c>
      <c r="Z33" s="13"/>
      <c r="AA33" s="13">
        <v>74750</v>
      </c>
      <c r="AB33" s="13">
        <v>0</v>
      </c>
      <c r="AC33" s="114">
        <v>0</v>
      </c>
      <c r="AD33" s="114">
        <v>2336.4899999999998</v>
      </c>
      <c r="AE33" s="13">
        <v>0</v>
      </c>
      <c r="AF33" s="13">
        <f t="shared" si="23"/>
        <v>2336.4899999999998</v>
      </c>
      <c r="AG33" s="13">
        <f t="shared" si="10"/>
        <v>2336.4899999999998</v>
      </c>
      <c r="AH33" s="44"/>
      <c r="AI33" s="44"/>
      <c r="AJ33" s="13">
        <f t="shared" si="11"/>
        <v>-72413.509999999995</v>
      </c>
      <c r="AK33" s="42">
        <f t="shared" si="18"/>
        <v>3.1257391304347824</v>
      </c>
      <c r="AL33" s="12"/>
      <c r="AM33" s="12"/>
      <c r="AN33" s="42">
        <f t="shared" si="12"/>
        <v>2336.4899999999998</v>
      </c>
      <c r="AO33" s="42">
        <v>0</v>
      </c>
      <c r="AP33" s="13">
        <f t="shared" si="14"/>
        <v>-1011.6200000000003</v>
      </c>
      <c r="AQ33" s="42">
        <f t="shared" si="35"/>
        <v>69.785341580772439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23458.32</v>
      </c>
      <c r="AC34" s="114">
        <v>0</v>
      </c>
      <c r="AD34" s="114">
        <v>3428</v>
      </c>
      <c r="AE34" s="13">
        <v>18381</v>
      </c>
      <c r="AF34" s="13">
        <f t="shared" si="23"/>
        <v>21809</v>
      </c>
      <c r="AG34" s="13">
        <f t="shared" si="10"/>
        <v>3428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-1649.3199999999997</v>
      </c>
      <c r="AO34" s="42">
        <f t="shared" si="13"/>
        <v>92.969146980687441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5463.63</v>
      </c>
      <c r="W35" s="13"/>
      <c r="X35" s="13"/>
      <c r="Y35" s="13">
        <f t="shared" si="66"/>
        <v>5463.63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-5463.63</v>
      </c>
      <c r="AQ35" s="42"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18" t="s">
        <v>14</v>
      </c>
      <c r="C36" s="118"/>
      <c r="D36" s="118"/>
      <c r="E36" s="118"/>
      <c r="F36" s="118"/>
      <c r="G36" s="118"/>
      <c r="H36" s="118"/>
      <c r="I36" s="118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175505.58</v>
      </c>
      <c r="W36" s="12"/>
      <c r="X36" s="12"/>
      <c r="Y36" s="12">
        <f>V36</f>
        <v>175505.58</v>
      </c>
      <c r="Z36" s="12">
        <v>763440</v>
      </c>
      <c r="AA36" s="12">
        <v>447000</v>
      </c>
      <c r="AB36" s="12">
        <v>123877</v>
      </c>
      <c r="AC36" s="12">
        <f>37.36+7.56</f>
        <v>44.92</v>
      </c>
      <c r="AD36" s="12">
        <f>146271.26+152.26</f>
        <v>146423.52000000002</v>
      </c>
      <c r="AE36" s="12">
        <v>163494.22</v>
      </c>
      <c r="AF36" s="12">
        <f t="shared" si="23"/>
        <v>309917.74</v>
      </c>
      <c r="AG36" s="12">
        <f t="shared" si="10"/>
        <v>146378.6</v>
      </c>
      <c r="AH36" s="44">
        <f t="shared" si="4"/>
        <v>-453522.26</v>
      </c>
      <c r="AI36" s="44">
        <v>0</v>
      </c>
      <c r="AJ36" s="12">
        <f t="shared" si="11"/>
        <v>-137082.26</v>
      </c>
      <c r="AK36" s="44">
        <f t="shared" si="18"/>
        <v>69.332827740492164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186040.74</v>
      </c>
      <c r="AO36" s="44">
        <f t="shared" si="13"/>
        <v>250.18182552047597</v>
      </c>
      <c r="AP36" s="12">
        <f t="shared" si="14"/>
        <v>134412.16</v>
      </c>
      <c r="AQ36" s="44">
        <f t="shared" si="35"/>
        <v>176.5856903239202</v>
      </c>
      <c r="AR36" s="12">
        <f t="shared" si="55"/>
        <v>367692.1</v>
      </c>
      <c r="AS36" s="12">
        <f t="shared" si="56"/>
        <v>-536.42782023028894</v>
      </c>
      <c r="AT36" s="34">
        <v>745000</v>
      </c>
    </row>
    <row r="37" spans="1:47" s="10" customFormat="1" ht="57.75" hidden="1" customHeight="1" x14ac:dyDescent="0.3">
      <c r="A37" s="9"/>
      <c r="B37" s="118" t="s">
        <v>13</v>
      </c>
      <c r="C37" s="118"/>
      <c r="D37" s="118"/>
      <c r="E37" s="118"/>
      <c r="F37" s="118"/>
      <c r="G37" s="118"/>
      <c r="H37" s="118"/>
      <c r="I37" s="118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5157500.42</v>
      </c>
      <c r="W37" s="12"/>
      <c r="X37" s="12">
        <f t="shared" si="69"/>
        <v>0</v>
      </c>
      <c r="Y37" s="12">
        <f t="shared" si="69"/>
        <v>5157500.42</v>
      </c>
      <c r="Z37" s="12">
        <f>Z38+Z44</f>
        <v>25090600</v>
      </c>
      <c r="AA37" s="12">
        <f>AA38+AA44</f>
        <v>29480458</v>
      </c>
      <c r="AB37" s="12">
        <f>AB38+AB44</f>
        <v>4216065.0199999996</v>
      </c>
      <c r="AC37" s="12">
        <f t="shared" ref="AC37:AD37" si="70">AC38+AC44</f>
        <v>1512069.4300000002</v>
      </c>
      <c r="AD37" s="12">
        <f t="shared" si="70"/>
        <v>1807675.35</v>
      </c>
      <c r="AE37" s="12">
        <v>4066248.3800000004</v>
      </c>
      <c r="AF37" s="12">
        <f>AF38+AF44</f>
        <v>5873923.7300000004</v>
      </c>
      <c r="AG37" s="12">
        <f t="shared" si="10"/>
        <v>295605.91999999993</v>
      </c>
      <c r="AH37" s="44">
        <f t="shared" si="4"/>
        <v>-19216676.27</v>
      </c>
      <c r="AI37" s="44">
        <v>0</v>
      </c>
      <c r="AJ37" s="12">
        <f t="shared" si="11"/>
        <v>-23606534.27</v>
      </c>
      <c r="AK37" s="44">
        <f t="shared" si="18"/>
        <v>19.924804865650323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1657858.7100000009</v>
      </c>
      <c r="AO37" s="44">
        <f t="shared" si="13"/>
        <v>139.32241799250053</v>
      </c>
      <c r="AP37" s="12">
        <f t="shared" si="14"/>
        <v>716423.31000000052</v>
      </c>
      <c r="AQ37" s="44">
        <f t="shared" si="35"/>
        <v>113.89090163176373</v>
      </c>
      <c r="AR37" s="12">
        <f t="shared" si="55"/>
        <v>-4622207.7300000004</v>
      </c>
      <c r="AS37" s="12">
        <f t="shared" si="56"/>
        <v>55.962749250855893</v>
      </c>
      <c r="AT37" s="34">
        <f t="shared" ref="AT37" si="71">AT38+AT44</f>
        <v>5873923.7300000004</v>
      </c>
    </row>
    <row r="38" spans="1:47" s="5" customFormat="1" ht="39" hidden="1" customHeight="1" x14ac:dyDescent="0.3">
      <c r="A38" s="4"/>
      <c r="B38" s="117" t="s">
        <v>60</v>
      </c>
      <c r="C38" s="117"/>
      <c r="D38" s="117"/>
      <c r="E38" s="117"/>
      <c r="F38" s="117"/>
      <c r="G38" s="117"/>
      <c r="H38" s="117"/>
      <c r="I38" s="117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5088984.2299999995</v>
      </c>
      <c r="W38" s="13"/>
      <c r="X38" s="13">
        <f t="shared" si="73"/>
        <v>0</v>
      </c>
      <c r="Y38" s="13">
        <f t="shared" si="73"/>
        <v>5088984.2299999995</v>
      </c>
      <c r="Z38" s="13">
        <f t="shared" si="73"/>
        <v>25090600</v>
      </c>
      <c r="AA38" s="13">
        <f t="shared" si="73"/>
        <v>29480458</v>
      </c>
      <c r="AB38" s="13">
        <f t="shared" si="73"/>
        <v>4216065.0199999996</v>
      </c>
      <c r="AC38" s="13">
        <f t="shared" ref="AC38:AD38" si="74">AC39+AC40+AC43+AC41+AC42</f>
        <v>1512087.8900000001</v>
      </c>
      <c r="AD38" s="13">
        <f t="shared" si="74"/>
        <v>1807675.35</v>
      </c>
      <c r="AE38" s="13">
        <v>4066248.3800000004</v>
      </c>
      <c r="AF38" s="13">
        <f>AF39+AF40+AF43+AF41+AF42</f>
        <v>5873923.7300000004</v>
      </c>
      <c r="AG38" s="13">
        <f t="shared" si="10"/>
        <v>295587.45999999996</v>
      </c>
      <c r="AH38" s="44">
        <f t="shared" si="4"/>
        <v>-19216676.27</v>
      </c>
      <c r="AI38" s="44">
        <v>0</v>
      </c>
      <c r="AJ38" s="12">
        <f t="shared" si="11"/>
        <v>-23606534.27</v>
      </c>
      <c r="AK38" s="42">
        <f t="shared" si="18"/>
        <v>19.924804865650323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1657858.7100000009</v>
      </c>
      <c r="AO38" s="42">
        <f t="shared" si="13"/>
        <v>139.32241799250053</v>
      </c>
      <c r="AP38" s="13">
        <f t="shared" si="14"/>
        <v>784939.50000000093</v>
      </c>
      <c r="AQ38" s="42">
        <f t="shared" si="35"/>
        <v>115.42428635114872</v>
      </c>
      <c r="AR38" s="12">
        <f t="shared" si="55"/>
        <v>-3997760.25</v>
      </c>
      <c r="AS38" s="12">
        <f t="shared" si="56"/>
        <v>59.502752943677606</v>
      </c>
      <c r="AT38" s="31">
        <f>AF38</f>
        <v>5873923.7300000004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78826.179999999993</v>
      </c>
      <c r="W39" s="31"/>
      <c r="X39" s="31"/>
      <c r="Y39" s="31">
        <f>V39</f>
        <v>78826.179999999993</v>
      </c>
      <c r="Z39" s="31">
        <v>360000</v>
      </c>
      <c r="AA39" s="31">
        <v>380458</v>
      </c>
      <c r="AB39" s="31">
        <v>32000</v>
      </c>
      <c r="AC39" s="31">
        <f>6810+180</f>
        <v>6990</v>
      </c>
      <c r="AD39" s="31">
        <f>8175+3170</f>
        <v>11345</v>
      </c>
      <c r="AE39" s="31">
        <v>49651</v>
      </c>
      <c r="AF39" s="31">
        <f t="shared" si="23"/>
        <v>60996</v>
      </c>
      <c r="AG39" s="31">
        <f t="shared" si="10"/>
        <v>4355</v>
      </c>
      <c r="AH39" s="103">
        <f t="shared" si="4"/>
        <v>-299004</v>
      </c>
      <c r="AI39" s="103">
        <f>AF39/Z39*100</f>
        <v>16.943333333333332</v>
      </c>
      <c r="AJ39" s="31">
        <f t="shared" si="11"/>
        <v>-319462</v>
      </c>
      <c r="AK39" s="103">
        <f t="shared" si="18"/>
        <v>16.032255860042369</v>
      </c>
      <c r="AL39" s="31"/>
      <c r="AM39" s="31"/>
      <c r="AN39" s="103">
        <f t="shared" si="12"/>
        <v>28996</v>
      </c>
      <c r="AO39" s="103">
        <f t="shared" si="13"/>
        <v>190.61250000000001</v>
      </c>
      <c r="AP39" s="31">
        <f t="shared" si="14"/>
        <v>-17830.179999999993</v>
      </c>
      <c r="AQ39" s="103">
        <f t="shared" si="35"/>
        <v>77.380383014881616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4756164.05</v>
      </c>
      <c r="W40" s="31"/>
      <c r="X40" s="31"/>
      <c r="Y40" s="31">
        <f>V40</f>
        <v>4756164.05</v>
      </c>
      <c r="Z40" s="31">
        <v>22830600</v>
      </c>
      <c r="AA40" s="31">
        <v>27500000</v>
      </c>
      <c r="AB40" s="31">
        <v>4013400</v>
      </c>
      <c r="AC40" s="31">
        <f>1307854.05+131093.84</f>
        <v>1438947.8900000001</v>
      </c>
      <c r="AD40" s="31">
        <f>1441338+285312.35</f>
        <v>1726650.35</v>
      </c>
      <c r="AE40" s="31">
        <v>3715157.3800000004</v>
      </c>
      <c r="AF40" s="31">
        <f t="shared" si="23"/>
        <v>5441807.7300000004</v>
      </c>
      <c r="AG40" s="31">
        <f t="shared" si="10"/>
        <v>287702.45999999996</v>
      </c>
      <c r="AH40" s="103">
        <f t="shared" si="4"/>
        <v>-17388792.27</v>
      </c>
      <c r="AI40" s="103">
        <f>AF40/Z40*100</f>
        <v>23.835587895193296</v>
      </c>
      <c r="AJ40" s="31">
        <f t="shared" si="11"/>
        <v>-22058192.27</v>
      </c>
      <c r="AK40" s="103">
        <f t="shared" si="18"/>
        <v>19.788391745454547</v>
      </c>
      <c r="AL40" s="31"/>
      <c r="AM40" s="31"/>
      <c r="AN40" s="103">
        <f t="shared" si="12"/>
        <v>1428407.7300000004</v>
      </c>
      <c r="AO40" s="103">
        <f t="shared" si="13"/>
        <v>135.59096352220064</v>
      </c>
      <c r="AP40" s="31">
        <f t="shared" si="14"/>
        <v>685643.68000000063</v>
      </c>
      <c r="AQ40" s="103">
        <f t="shared" si="35"/>
        <v>114.41589635664481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250924</v>
      </c>
      <c r="W41" s="31"/>
      <c r="X41" s="31"/>
      <c r="Y41" s="31">
        <f t="shared" ref="Y41:Y42" si="77">V41</f>
        <v>250924</v>
      </c>
      <c r="Z41" s="31">
        <v>1400000</v>
      </c>
      <c r="AA41" s="31">
        <v>1400000</v>
      </c>
      <c r="AB41" s="31">
        <v>120665.02</v>
      </c>
      <c r="AC41" s="31">
        <f>45330+20820</f>
        <v>66150</v>
      </c>
      <c r="AD41" s="31">
        <f>47440+17740</f>
        <v>65180</v>
      </c>
      <c r="AE41" s="31">
        <v>301440</v>
      </c>
      <c r="AF41" s="31">
        <f t="shared" si="23"/>
        <v>366620</v>
      </c>
      <c r="AG41" s="31">
        <f t="shared" si="10"/>
        <v>-970</v>
      </c>
      <c r="AH41" s="103">
        <f t="shared" si="4"/>
        <v>-1033380</v>
      </c>
      <c r="AI41" s="103">
        <f t="shared" ref="AI41:AI42" si="78">AF41/Z41*100</f>
        <v>26.187142857142859</v>
      </c>
      <c r="AJ41" s="31">
        <f t="shared" si="11"/>
        <v>-1033380</v>
      </c>
      <c r="AK41" s="103">
        <f t="shared" si="18"/>
        <v>26.187142857142856</v>
      </c>
      <c r="AL41" s="31"/>
      <c r="AM41" s="31"/>
      <c r="AN41" s="103">
        <f t="shared" si="12"/>
        <v>245954.97999999998</v>
      </c>
      <c r="AO41" s="103">
        <f t="shared" si="13"/>
        <v>303.83287550940611</v>
      </c>
      <c r="AP41" s="31">
        <f t="shared" si="14"/>
        <v>115696</v>
      </c>
      <c r="AQ41" s="103">
        <v>0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50000</v>
      </c>
      <c r="AC42" s="31">
        <v>0</v>
      </c>
      <c r="AD42" s="31">
        <v>0</v>
      </c>
      <c r="AE42" s="31">
        <v>0</v>
      </c>
      <c r="AF42" s="31">
        <f t="shared" si="23"/>
        <v>0</v>
      </c>
      <c r="AG42" s="31">
        <f t="shared" si="10"/>
        <v>0</v>
      </c>
      <c r="AH42" s="103">
        <f t="shared" si="4"/>
        <v>-500000</v>
      </c>
      <c r="AI42" s="103">
        <f t="shared" si="78"/>
        <v>0</v>
      </c>
      <c r="AJ42" s="31">
        <f t="shared" si="11"/>
        <v>-200000</v>
      </c>
      <c r="AK42" s="103">
        <f t="shared" si="18"/>
        <v>0</v>
      </c>
      <c r="AL42" s="31"/>
      <c r="AM42" s="31"/>
      <c r="AN42" s="103">
        <f t="shared" si="12"/>
        <v>-50000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3070</v>
      </c>
      <c r="W43" s="31"/>
      <c r="X43" s="31"/>
      <c r="Y43" s="31">
        <f>V43</f>
        <v>3070</v>
      </c>
      <c r="Z43" s="31">
        <v>0</v>
      </c>
      <c r="AA43" s="31">
        <v>0</v>
      </c>
      <c r="AB43" s="31">
        <v>0</v>
      </c>
      <c r="AC43" s="31">
        <v>0</v>
      </c>
      <c r="AD43" s="31">
        <v>4500</v>
      </c>
      <c r="AE43" s="31">
        <v>0</v>
      </c>
      <c r="AF43" s="31">
        <f t="shared" si="23"/>
        <v>4500</v>
      </c>
      <c r="AG43" s="31">
        <f t="shared" si="10"/>
        <v>4500</v>
      </c>
      <c r="AH43" s="103">
        <f t="shared" si="4"/>
        <v>4500</v>
      </c>
      <c r="AI43" s="103">
        <v>0</v>
      </c>
      <c r="AJ43" s="31">
        <f t="shared" si="11"/>
        <v>4500</v>
      </c>
      <c r="AK43" s="103">
        <v>100</v>
      </c>
      <c r="AL43" s="31"/>
      <c r="AM43" s="31"/>
      <c r="AN43" s="103">
        <f t="shared" si="12"/>
        <v>4500</v>
      </c>
      <c r="AO43" s="103">
        <v>0</v>
      </c>
      <c r="AP43" s="31">
        <f t="shared" si="14"/>
        <v>1430</v>
      </c>
      <c r="AQ43" s="103">
        <f t="shared" si="35"/>
        <v>146.57980456026058</v>
      </c>
      <c r="AR43" s="12"/>
      <c r="AS43" s="12"/>
      <c r="AT43" s="31"/>
    </row>
    <row r="44" spans="1:47" s="5" customFormat="1" ht="28.5" hidden="1" customHeight="1" x14ac:dyDescent="0.3">
      <c r="A44" s="4"/>
      <c r="B44" s="117" t="s">
        <v>12</v>
      </c>
      <c r="C44" s="117"/>
      <c r="D44" s="117"/>
      <c r="E44" s="117"/>
      <c r="F44" s="117"/>
      <c r="G44" s="117"/>
      <c r="H44" s="117"/>
      <c r="I44" s="117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68516.19</v>
      </c>
      <c r="W44" s="13"/>
      <c r="X44" s="13"/>
      <c r="Y44" s="13">
        <f>V44</f>
        <v>68516.19</v>
      </c>
      <c r="Z44" s="13"/>
      <c r="AA44" s="13">
        <v>0</v>
      </c>
      <c r="AB44" s="13">
        <v>0</v>
      </c>
      <c r="AC44" s="13">
        <v>-18.46</v>
      </c>
      <c r="AD44" s="13">
        <v>0</v>
      </c>
      <c r="AE44" s="13">
        <v>0</v>
      </c>
      <c r="AF44" s="13">
        <f t="shared" si="23"/>
        <v>0</v>
      </c>
      <c r="AG44" s="13">
        <f t="shared" si="10"/>
        <v>18.46</v>
      </c>
      <c r="AH44" s="44">
        <f t="shared" si="4"/>
        <v>0</v>
      </c>
      <c r="AI44" s="44">
        <v>0</v>
      </c>
      <c r="AJ44" s="13">
        <f t="shared" si="11"/>
        <v>0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0</v>
      </c>
      <c r="AO44" s="115">
        <v>0</v>
      </c>
      <c r="AP44" s="13">
        <f t="shared" si="14"/>
        <v>-68516.19</v>
      </c>
      <c r="AQ44" s="42">
        <v>0</v>
      </c>
      <c r="AR44" s="12">
        <f t="shared" ref="AR44:AR59" si="79">AF44-M44</f>
        <v>-624447.48</v>
      </c>
      <c r="AS44" s="12">
        <f t="shared" ref="AS44:AS59" si="80">IF(M44=0,0,AF44/M44*100)</f>
        <v>0</v>
      </c>
      <c r="AT44" s="31">
        <f>AF44</f>
        <v>0</v>
      </c>
    </row>
    <row r="45" spans="1:47" s="10" customFormat="1" ht="60" hidden="1" customHeight="1" x14ac:dyDescent="0.3">
      <c r="A45" s="9"/>
      <c r="B45" s="118" t="s">
        <v>11</v>
      </c>
      <c r="C45" s="118"/>
      <c r="D45" s="118"/>
      <c r="E45" s="118"/>
      <c r="F45" s="118"/>
      <c r="G45" s="118"/>
      <c r="H45" s="118"/>
      <c r="I45" s="118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203137.44</v>
      </c>
      <c r="W45" s="12"/>
      <c r="X45" s="12">
        <f t="shared" si="81"/>
        <v>0</v>
      </c>
      <c r="Y45" s="12">
        <f t="shared" si="81"/>
        <v>203137.44</v>
      </c>
      <c r="Z45" s="12">
        <f t="shared" si="81"/>
        <v>132000</v>
      </c>
      <c r="AA45" s="12">
        <f t="shared" si="81"/>
        <v>132000</v>
      </c>
      <c r="AB45" s="12">
        <f t="shared" si="81"/>
        <v>0</v>
      </c>
      <c r="AC45" s="12">
        <f t="shared" ref="AC45:AD45" si="82">AC46+AC47</f>
        <v>116226.96</v>
      </c>
      <c r="AD45" s="12">
        <f t="shared" si="82"/>
        <v>10100</v>
      </c>
      <c r="AE45" s="12">
        <v>381072.12</v>
      </c>
      <c r="AF45" s="12">
        <f t="shared" si="81"/>
        <v>391172.12</v>
      </c>
      <c r="AG45" s="12">
        <f t="shared" si="10"/>
        <v>-106126.96</v>
      </c>
      <c r="AH45" s="44">
        <f t="shared" si="4"/>
        <v>259172.12</v>
      </c>
      <c r="AI45" s="44">
        <f t="shared" ref="AI45:AI58" si="83">AF45/Z45*100</f>
        <v>296.34251515151516</v>
      </c>
      <c r="AJ45" s="12">
        <f t="shared" si="11"/>
        <v>259172.12</v>
      </c>
      <c r="AK45" s="44">
        <f t="shared" si="18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391172.12</v>
      </c>
      <c r="AO45" s="44">
        <v>0</v>
      </c>
      <c r="AP45" s="12">
        <f t="shared" si="14"/>
        <v>188034.68</v>
      </c>
      <c r="AQ45" s="44">
        <v>0</v>
      </c>
      <c r="AR45" s="12">
        <f t="shared" si="79"/>
        <v>-2807117.01</v>
      </c>
      <c r="AS45" s="12">
        <f t="shared" si="80"/>
        <v>12.230667838338931</v>
      </c>
      <c r="AT45" s="34">
        <f t="shared" ref="AT45" si="84">AT46+AT47</f>
        <v>391172.12</v>
      </c>
    </row>
    <row r="46" spans="1:47" s="5" customFormat="1" ht="63" hidden="1" customHeight="1" x14ac:dyDescent="0.3">
      <c r="A46" s="4"/>
      <c r="B46" s="117" t="s">
        <v>37</v>
      </c>
      <c r="C46" s="117"/>
      <c r="D46" s="117"/>
      <c r="E46" s="117"/>
      <c r="F46" s="117"/>
      <c r="G46" s="117"/>
      <c r="H46" s="117"/>
      <c r="I46" s="117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17" t="s">
        <v>10</v>
      </c>
      <c r="C47" s="117"/>
      <c r="D47" s="117"/>
      <c r="E47" s="117"/>
      <c r="F47" s="117"/>
      <c r="G47" s="117"/>
      <c r="H47" s="117"/>
      <c r="I47" s="117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197908.64</v>
      </c>
      <c r="W47" s="13"/>
      <c r="X47" s="13"/>
      <c r="Y47" s="13">
        <f>V47</f>
        <v>197908.64</v>
      </c>
      <c r="Z47" s="13">
        <v>0</v>
      </c>
      <c r="AA47" s="13">
        <v>132000</v>
      </c>
      <c r="AB47" s="13">
        <v>0</v>
      </c>
      <c r="AC47" s="13">
        <v>116226.96</v>
      </c>
      <c r="AD47" s="13">
        <v>10100</v>
      </c>
      <c r="AE47" s="13">
        <v>381072.12</v>
      </c>
      <c r="AF47" s="13">
        <f t="shared" si="23"/>
        <v>391172.12</v>
      </c>
      <c r="AG47" s="13">
        <f t="shared" si="10"/>
        <v>-106126.96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391172.12</v>
      </c>
      <c r="AO47" s="42">
        <v>0</v>
      </c>
      <c r="AP47" s="13">
        <f t="shared" si="14"/>
        <v>193263.47999999998</v>
      </c>
      <c r="AQ47" s="42">
        <f t="shared" si="35"/>
        <v>197.65287660003119</v>
      </c>
      <c r="AR47" s="12">
        <f t="shared" si="79"/>
        <v>-2807117.01</v>
      </c>
      <c r="AS47" s="12">
        <f t="shared" si="80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18" t="s">
        <v>9</v>
      </c>
      <c r="C48" s="118"/>
      <c r="D48" s="118"/>
      <c r="E48" s="118"/>
      <c r="F48" s="118"/>
      <c r="G48" s="118"/>
      <c r="H48" s="118"/>
      <c r="I48" s="118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101655.48</v>
      </c>
      <c r="W48" s="12"/>
      <c r="X48" s="12"/>
      <c r="Y48" s="12">
        <f>V48</f>
        <v>101655.48</v>
      </c>
      <c r="Z48" s="12">
        <v>1249470</v>
      </c>
      <c r="AA48" s="12">
        <v>1147080</v>
      </c>
      <c r="AB48" s="12">
        <v>129417</v>
      </c>
      <c r="AC48" s="12">
        <f>16445.32+500+500</f>
        <v>17445.32</v>
      </c>
      <c r="AD48" s="12">
        <f>13328.43+150+2000+3000</f>
        <v>18478.43</v>
      </c>
      <c r="AE48" s="12">
        <v>171127.17</v>
      </c>
      <c r="AF48" s="12">
        <f t="shared" si="23"/>
        <v>189605.6</v>
      </c>
      <c r="AG48" s="12">
        <f t="shared" si="10"/>
        <v>1033.1100000000006</v>
      </c>
      <c r="AH48" s="44">
        <f t="shared" si="4"/>
        <v>-1059864.3999999999</v>
      </c>
      <c r="AI48" s="44">
        <f t="shared" si="83"/>
        <v>15.174882150031612</v>
      </c>
      <c r="AJ48" s="12">
        <f t="shared" si="11"/>
        <v>-957474.4</v>
      </c>
      <c r="AK48" s="44">
        <f t="shared" si="18"/>
        <v>16.529413815950065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60188.600000000006</v>
      </c>
      <c r="AO48" s="44">
        <f t="shared" si="13"/>
        <v>146.50749128785245</v>
      </c>
      <c r="AP48" s="12">
        <f t="shared" si="14"/>
        <v>87950.12000000001</v>
      </c>
      <c r="AQ48" s="44">
        <f t="shared" si="35"/>
        <v>186.51783455254946</v>
      </c>
      <c r="AR48" s="12">
        <f t="shared" si="79"/>
        <v>-784651.67</v>
      </c>
      <c r="AS48" s="12">
        <f t="shared" si="80"/>
        <v>19.461553517583706</v>
      </c>
      <c r="AT48" s="34">
        <f>AF48</f>
        <v>189605.6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35516.6</v>
      </c>
      <c r="W49" s="25"/>
      <c r="X49" s="25"/>
      <c r="Y49" s="16">
        <f>V49</f>
        <v>35516.6</v>
      </c>
      <c r="Z49" s="25">
        <v>336190</v>
      </c>
      <c r="AA49" s="25">
        <v>159900</v>
      </c>
      <c r="AB49" s="25">
        <v>12000</v>
      </c>
      <c r="AC49" s="25">
        <f>5695.21+500</f>
        <v>6195.21</v>
      </c>
      <c r="AD49" s="25">
        <v>3500</v>
      </c>
      <c r="AE49" s="25">
        <v>10237.86</v>
      </c>
      <c r="AF49" s="25">
        <f t="shared" si="23"/>
        <v>13737.86</v>
      </c>
      <c r="AG49" s="16">
        <f t="shared" si="10"/>
        <v>-2695.21</v>
      </c>
      <c r="AH49" s="44">
        <f t="shared" si="4"/>
        <v>-322452.14</v>
      </c>
      <c r="AI49" s="44">
        <f t="shared" si="83"/>
        <v>4.0863380826318458</v>
      </c>
      <c r="AJ49" s="12">
        <f t="shared" si="11"/>
        <v>-146162.14000000001</v>
      </c>
      <c r="AK49" s="42">
        <f t="shared" si="18"/>
        <v>8.5915322076297684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1737.8600000000006</v>
      </c>
      <c r="AO49" s="42">
        <f t="shared" si="13"/>
        <v>114.48216666666666</v>
      </c>
      <c r="AP49" s="13">
        <f t="shared" si="14"/>
        <v>-21778.739999999998</v>
      </c>
      <c r="AQ49" s="42">
        <f t="shared" si="35"/>
        <v>38.680110145678363</v>
      </c>
      <c r="AR49" s="12">
        <f t="shared" si="79"/>
        <v>-95579.17</v>
      </c>
      <c r="AS49" s="12">
        <f t="shared" si="80"/>
        <v>12.566989791069149</v>
      </c>
      <c r="AT49" s="31">
        <f>AF49</f>
        <v>13737.86</v>
      </c>
      <c r="AV49" s="25"/>
    </row>
    <row r="50" spans="1:48" s="10" customFormat="1" ht="36.75" hidden="1" customHeight="1" x14ac:dyDescent="0.3">
      <c r="A50" s="9"/>
      <c r="B50" s="118" t="s">
        <v>7</v>
      </c>
      <c r="C50" s="118"/>
      <c r="D50" s="118"/>
      <c r="E50" s="118"/>
      <c r="F50" s="118"/>
      <c r="G50" s="118"/>
      <c r="H50" s="118"/>
      <c r="I50" s="118"/>
      <c r="J50" s="12">
        <f t="shared" ref="J50:P50" si="90">J51+J53</f>
        <v>1294662.3799999999</v>
      </c>
      <c r="K50" s="12">
        <f t="shared" si="90"/>
        <v>4238232.71</v>
      </c>
      <c r="L50" s="12">
        <f t="shared" si="90"/>
        <v>389278.05</v>
      </c>
      <c r="M50" s="12">
        <f t="shared" si="90"/>
        <v>1027223.3400000001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1973590.8399999999</v>
      </c>
      <c r="W50" s="12">
        <f t="shared" si="92"/>
        <v>0</v>
      </c>
      <c r="X50" s="12">
        <f t="shared" si="92"/>
        <v>0</v>
      </c>
      <c r="Y50" s="12">
        <f t="shared" si="92"/>
        <v>1973590.8399999999</v>
      </c>
      <c r="Z50" s="12">
        <f t="shared" ref="Z50:AB50" si="93">Z51+Z53</f>
        <v>2715689.65</v>
      </c>
      <c r="AA50" s="12">
        <f t="shared" si="93"/>
        <v>2943570.33</v>
      </c>
      <c r="AB50" s="12">
        <f t="shared" si="93"/>
        <v>478612.28</v>
      </c>
      <c r="AC50" s="12">
        <f>AC51+AC52+AC53</f>
        <v>-435952.55</v>
      </c>
      <c r="AD50" s="12">
        <f>AD51+AD52+AD53</f>
        <v>160041.39000000001</v>
      </c>
      <c r="AE50" s="12">
        <v>563408.89999999991</v>
      </c>
      <c r="AF50" s="12">
        <f>AF51+AF52+AF53</f>
        <v>723450.28999999992</v>
      </c>
      <c r="AG50" s="12">
        <f t="shared" si="10"/>
        <v>595993.93999999994</v>
      </c>
      <c r="AH50" s="44">
        <f t="shared" si="4"/>
        <v>-1992239.3599999999</v>
      </c>
      <c r="AI50" s="44">
        <f t="shared" si="83"/>
        <v>26.639652656922706</v>
      </c>
      <c r="AJ50" s="12">
        <f t="shared" si="11"/>
        <v>-2220120.04</v>
      </c>
      <c r="AK50" s="44">
        <f t="shared" si="18"/>
        <v>24.577306090729618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244838.00999999989</v>
      </c>
      <c r="AO50" s="44">
        <f t="shared" si="13"/>
        <v>151.15581447262488</v>
      </c>
      <c r="AP50" s="12">
        <f t="shared" si="14"/>
        <v>-1250140.5499999998</v>
      </c>
      <c r="AQ50" s="44">
        <f t="shared" si="35"/>
        <v>36.656548831570376</v>
      </c>
      <c r="AR50" s="12">
        <f t="shared" si="79"/>
        <v>-303773.05000000016</v>
      </c>
      <c r="AS50" s="12">
        <f t="shared" si="80"/>
        <v>70.42775040528187</v>
      </c>
      <c r="AT50" s="34">
        <f t="shared" ref="AT50" si="94">AT51+AT53</f>
        <v>4395552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24693.39</v>
      </c>
      <c r="W51" s="13"/>
      <c r="X51" s="13"/>
      <c r="Y51" s="13">
        <f>V51</f>
        <v>24693.39</v>
      </c>
      <c r="Z51" s="13">
        <v>0</v>
      </c>
      <c r="AA51" s="13">
        <v>0</v>
      </c>
      <c r="AB51" s="13">
        <v>0</v>
      </c>
      <c r="AC51" s="114">
        <v>-648400</v>
      </c>
      <c r="AD51" s="114">
        <v>-4440</v>
      </c>
      <c r="AE51" s="13">
        <v>44439.999999999884</v>
      </c>
      <c r="AF51" s="13">
        <f t="shared" si="23"/>
        <v>39999.999999999884</v>
      </c>
      <c r="AG51" s="16">
        <f t="shared" si="10"/>
        <v>643960</v>
      </c>
      <c r="AH51" s="44">
        <f t="shared" si="4"/>
        <v>39999.999999999884</v>
      </c>
      <c r="AI51" s="44">
        <v>0</v>
      </c>
      <c r="AJ51" s="13">
        <f t="shared" si="11"/>
        <v>39999.999999999884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39999.999999999884</v>
      </c>
      <c r="AO51" s="42">
        <v>100</v>
      </c>
      <c r="AP51" s="13">
        <f t="shared" si="14"/>
        <v>15306.609999999884</v>
      </c>
      <c r="AQ51" s="44">
        <f t="shared" si="35"/>
        <v>161.98666930704891</v>
      </c>
      <c r="AR51" s="12">
        <f t="shared" si="79"/>
        <v>-349278.0500000001</v>
      </c>
      <c r="AS51" s="12">
        <f t="shared" si="80"/>
        <v>10.275431661250842</v>
      </c>
      <c r="AT51" s="31">
        <f>AF51</f>
        <v>39999.999999999884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11800</v>
      </c>
      <c r="W52" s="13"/>
      <c r="X52" s="13"/>
      <c r="Y52" s="13">
        <f t="shared" ref="Y52:Y53" si="96">V52</f>
        <v>11800</v>
      </c>
      <c r="Z52" s="13"/>
      <c r="AA52" s="13">
        <v>0</v>
      </c>
      <c r="AB52" s="13">
        <v>0</v>
      </c>
      <c r="AC52" s="114">
        <f>14500+600</f>
        <v>15100</v>
      </c>
      <c r="AD52" s="114">
        <v>14700</v>
      </c>
      <c r="AE52" s="13">
        <v>30805</v>
      </c>
      <c r="AF52" s="13">
        <f t="shared" si="23"/>
        <v>45505</v>
      </c>
      <c r="AG52" s="16">
        <f t="shared" si="10"/>
        <v>-400</v>
      </c>
      <c r="AH52" s="44"/>
      <c r="AI52" s="44"/>
      <c r="AJ52" s="13">
        <f t="shared" si="11"/>
        <v>45505</v>
      </c>
      <c r="AK52" s="42">
        <v>100</v>
      </c>
      <c r="AL52" s="13"/>
      <c r="AM52" s="13"/>
      <c r="AN52" s="42">
        <f t="shared" si="12"/>
        <v>45505</v>
      </c>
      <c r="AO52" s="42">
        <v>100</v>
      </c>
      <c r="AP52" s="13">
        <f t="shared" si="14"/>
        <v>33705</v>
      </c>
      <c r="AQ52" s="44">
        <f t="shared" si="35"/>
        <v>385.63559322033899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637945.29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1937097.45</v>
      </c>
      <c r="W53" s="13"/>
      <c r="X53" s="13"/>
      <c r="Y53" s="13">
        <f t="shared" si="96"/>
        <v>1937097.45</v>
      </c>
      <c r="Z53" s="13">
        <v>2715689.65</v>
      </c>
      <c r="AA53" s="13">
        <v>2943570.33</v>
      </c>
      <c r="AB53" s="13">
        <v>478612.28</v>
      </c>
      <c r="AC53" s="13">
        <f>79023.78+2000+32923.67+5800+4600+20000+50000+3000</f>
        <v>197347.45</v>
      </c>
      <c r="AD53" s="13">
        <f>112200-300+2000+5000+11881.2+3500+15500.19</f>
        <v>149781.39000000001</v>
      </c>
      <c r="AE53" s="13">
        <v>488163.9</v>
      </c>
      <c r="AF53" s="13">
        <f t="shared" si="23"/>
        <v>637945.29</v>
      </c>
      <c r="AG53" s="16">
        <f t="shared" si="10"/>
        <v>-47566.06</v>
      </c>
      <c r="AH53" s="44">
        <f t="shared" si="4"/>
        <v>-2077744.3599999999</v>
      </c>
      <c r="AI53" s="44">
        <f t="shared" si="83"/>
        <v>23.491097003665352</v>
      </c>
      <c r="AJ53" s="13">
        <f t="shared" si="11"/>
        <v>-2305625.04</v>
      </c>
      <c r="AK53" s="42">
        <f t="shared" si="18"/>
        <v>21.672500347562615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159333.01</v>
      </c>
      <c r="AO53" s="42">
        <f t="shared" si="13"/>
        <v>133.29062304878596</v>
      </c>
      <c r="AP53" s="13">
        <f t="shared" si="14"/>
        <v>-1299152.1599999999</v>
      </c>
      <c r="AQ53" s="42">
        <f t="shared" si="35"/>
        <v>32.933050941758246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8" t="s">
        <v>1</v>
      </c>
      <c r="C54" s="118"/>
      <c r="D54" s="118"/>
      <c r="E54" s="118"/>
      <c r="F54" s="118"/>
      <c r="G54" s="118"/>
      <c r="H54" s="118"/>
      <c r="I54" s="118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T54" si="98">S55+S56+S57+S58+S59+S60+S61+S62</f>
        <v>2058217674.4300001</v>
      </c>
      <c r="T54" s="12">
        <f t="shared" si="98"/>
        <v>2039899297.8500004</v>
      </c>
      <c r="U54" s="12">
        <f t="shared" ref="U54:AB54" si="99">U55+U56+U57+U58+U59+U61+U62</f>
        <v>2039899297.8500004</v>
      </c>
      <c r="V54" s="12">
        <f>V55+V56+V57+V58+V59+V60+V61+V62</f>
        <v>281197655.13999993</v>
      </c>
      <c r="W54" s="12"/>
      <c r="X54" s="12">
        <f t="shared" si="99"/>
        <v>0</v>
      </c>
      <c r="Y54" s="12">
        <f>Y55+Y56+Y57+Y58+Y59+Y60+Y61+Y62</f>
        <v>281197655.13999993</v>
      </c>
      <c r="Z54" s="12">
        <f t="shared" si="99"/>
        <v>1741578685.6100001</v>
      </c>
      <c r="AA54" s="12">
        <f t="shared" si="99"/>
        <v>1652639506.0899999</v>
      </c>
      <c r="AB54" s="12">
        <f t="shared" si="99"/>
        <v>284191812.36000001</v>
      </c>
      <c r="AC54" s="12">
        <f>AC55+AC56+AC57+AC58+AC59+AC61+AC62</f>
        <v>33537006.109999999</v>
      </c>
      <c r="AD54" s="12">
        <f>AD55+AD56+AD57+AD58+AD59+AD61+AD62</f>
        <v>36374730.799999997</v>
      </c>
      <c r="AE54" s="12">
        <v>104969063.22</v>
      </c>
      <c r="AF54" s="12">
        <f t="shared" ref="AF54" si="100">AF55+AF56+AF57+AF58+AF59+AF61+AF62</f>
        <v>141343794.02000001</v>
      </c>
      <c r="AG54" s="12">
        <f t="shared" si="10"/>
        <v>2837724.6899999976</v>
      </c>
      <c r="AH54" s="44">
        <f t="shared" si="4"/>
        <v>-1600234891.5900002</v>
      </c>
      <c r="AI54" s="44">
        <f t="shared" si="83"/>
        <v>8.1158431248538943</v>
      </c>
      <c r="AJ54" s="12">
        <f t="shared" si="11"/>
        <v>-1511295712.0699999</v>
      </c>
      <c r="AK54" s="44">
        <f t="shared" si="18"/>
        <v>8.5526089325074306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-142848018.34</v>
      </c>
      <c r="AO54" s="44">
        <f t="shared" si="13"/>
        <v>49.735350517752686</v>
      </c>
      <c r="AP54" s="12">
        <f t="shared" si="14"/>
        <v>-139853861.11999992</v>
      </c>
      <c r="AQ54" s="44">
        <f t="shared" si="35"/>
        <v>50.264926266767461</v>
      </c>
      <c r="AR54" s="12">
        <f t="shared" si="79"/>
        <v>-609485875.26999998</v>
      </c>
      <c r="AS54" s="12">
        <f t="shared" si="80"/>
        <v>18.825014487461267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18" t="s">
        <v>6</v>
      </c>
      <c r="C55" s="118"/>
      <c r="D55" s="118"/>
      <c r="E55" s="118"/>
      <c r="F55" s="118"/>
      <c r="G55" s="118"/>
      <c r="H55" s="118"/>
      <c r="I55" s="118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90547000</v>
      </c>
      <c r="W55" s="12"/>
      <c r="X55" s="12"/>
      <c r="Y55" s="12">
        <f t="shared" ref="Y55:Y62" si="105">V55</f>
        <v>90547000</v>
      </c>
      <c r="Z55" s="12">
        <v>543282000</v>
      </c>
      <c r="AA55" s="12">
        <v>504630000</v>
      </c>
      <c r="AB55" s="34">
        <v>84105000</v>
      </c>
      <c r="AC55" s="12">
        <v>0</v>
      </c>
      <c r="AD55" s="12">
        <v>16595168</v>
      </c>
      <c r="AE55" s="12">
        <v>67509832</v>
      </c>
      <c r="AF55" s="12">
        <f t="shared" si="23"/>
        <v>84105000</v>
      </c>
      <c r="AG55" s="12">
        <f t="shared" si="10"/>
        <v>16595168</v>
      </c>
      <c r="AH55" s="44">
        <f t="shared" si="4"/>
        <v>-459177000</v>
      </c>
      <c r="AI55" s="44">
        <f t="shared" si="83"/>
        <v>15.48091046638762</v>
      </c>
      <c r="AJ55" s="12">
        <f t="shared" si="11"/>
        <v>-420525000</v>
      </c>
      <c r="AK55" s="44">
        <f t="shared" si="18"/>
        <v>16.666666666666668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-6442000</v>
      </c>
      <c r="AQ55" s="44">
        <f t="shared" si="35"/>
        <v>92.885462798325733</v>
      </c>
      <c r="AR55" s="12">
        <f t="shared" si="79"/>
        <v>-117384000</v>
      </c>
      <c r="AS55" s="12">
        <f t="shared" si="80"/>
        <v>41.741732799309148</v>
      </c>
      <c r="AT55" s="34">
        <v>436509000</v>
      </c>
    </row>
    <row r="56" spans="1:48" s="10" customFormat="1" ht="43.5" customHeight="1" x14ac:dyDescent="0.3">
      <c r="A56" s="9"/>
      <c r="B56" s="118" t="s">
        <v>5</v>
      </c>
      <c r="C56" s="118"/>
      <c r="D56" s="118"/>
      <c r="E56" s="118"/>
      <c r="F56" s="118"/>
      <c r="G56" s="118"/>
      <c r="H56" s="118"/>
      <c r="I56" s="118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5563769.0899999999</v>
      </c>
      <c r="W56" s="12"/>
      <c r="X56" s="12"/>
      <c r="Y56" s="12">
        <f t="shared" si="105"/>
        <v>5563769.0899999999</v>
      </c>
      <c r="Z56" s="12">
        <v>164450526.09999999</v>
      </c>
      <c r="AA56" s="12">
        <v>304597569.80000001</v>
      </c>
      <c r="AB56" s="12">
        <v>6842345.4699999997</v>
      </c>
      <c r="AC56" s="12">
        <v>1632479.52</v>
      </c>
      <c r="AD56" s="12">
        <v>2763296.86</v>
      </c>
      <c r="AE56" s="12">
        <v>1632479.52</v>
      </c>
      <c r="AF56" s="12">
        <f t="shared" si="23"/>
        <v>4395776.38</v>
      </c>
      <c r="AG56" s="12">
        <f t="shared" si="10"/>
        <v>1130817.3399999999</v>
      </c>
      <c r="AH56" s="44">
        <f t="shared" si="4"/>
        <v>-160054749.72</v>
      </c>
      <c r="AI56" s="44">
        <f t="shared" si="83"/>
        <v>2.6730084021300069</v>
      </c>
      <c r="AJ56" s="12">
        <f t="shared" si="11"/>
        <v>-300201793.42000002</v>
      </c>
      <c r="AK56" s="44">
        <f t="shared" si="18"/>
        <v>1.4431423017873333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-2446569.09</v>
      </c>
      <c r="AO56" s="44">
        <f t="shared" si="13"/>
        <v>64.243707063215567</v>
      </c>
      <c r="AP56" s="12">
        <f t="shared" si="14"/>
        <v>-1167992.71</v>
      </c>
      <c r="AQ56" s="44">
        <v>0</v>
      </c>
      <c r="AR56" s="12">
        <f t="shared" si="79"/>
        <v>-63856407.719999991</v>
      </c>
      <c r="AS56" s="12">
        <f t="shared" si="80"/>
        <v>6.4404918874969752</v>
      </c>
      <c r="AT56" s="34" t="e">
        <f>#REF!</f>
        <v>#REF!</v>
      </c>
    </row>
    <row r="57" spans="1:48" s="10" customFormat="1" ht="45" customHeight="1" x14ac:dyDescent="0.3">
      <c r="A57" s="9"/>
      <c r="B57" s="118" t="s">
        <v>4</v>
      </c>
      <c r="C57" s="118"/>
      <c r="D57" s="118"/>
      <c r="E57" s="118"/>
      <c r="F57" s="118"/>
      <c r="G57" s="118"/>
      <c r="H57" s="118"/>
      <c r="I57" s="118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185873024.94999999</v>
      </c>
      <c r="W57" s="12"/>
      <c r="X57" s="12"/>
      <c r="Y57" s="12">
        <f t="shared" si="105"/>
        <v>185873024.94999999</v>
      </c>
      <c r="Z57" s="12">
        <v>1032066181.7</v>
      </c>
      <c r="AA57" s="12">
        <v>841614535.71000004</v>
      </c>
      <c r="AB57" s="12">
        <v>192942671.09</v>
      </c>
      <c r="AC57" s="12">
        <v>31904526.59</v>
      </c>
      <c r="AD57" s="12">
        <v>17016265.940000001</v>
      </c>
      <c r="AE57" s="12">
        <v>92552171.61999999</v>
      </c>
      <c r="AF57" s="12">
        <f t="shared" si="23"/>
        <v>109568437.55999999</v>
      </c>
      <c r="AG57" s="12">
        <f t="shared" si="10"/>
        <v>-14888260.649999999</v>
      </c>
      <c r="AH57" s="44">
        <f t="shared" si="4"/>
        <v>-922497744.1400001</v>
      </c>
      <c r="AI57" s="44">
        <f t="shared" si="83"/>
        <v>10.616415836775207</v>
      </c>
      <c r="AJ57" s="12">
        <f t="shared" si="11"/>
        <v>-732046098.1500001</v>
      </c>
      <c r="AK57" s="44">
        <f t="shared" si="18"/>
        <v>13.018838543177754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-83374233.530000016</v>
      </c>
      <c r="AO57" s="44">
        <f t="shared" si="13"/>
        <v>56.788079558041737</v>
      </c>
      <c r="AP57" s="12">
        <f t="shared" si="14"/>
        <v>-76304587.390000001</v>
      </c>
      <c r="AQ57" s="44">
        <f t="shared" si="35"/>
        <v>58.948003665122464</v>
      </c>
      <c r="AR57" s="12">
        <f t="shared" si="79"/>
        <v>-374930244.56</v>
      </c>
      <c r="AS57" s="12">
        <f t="shared" si="80"/>
        <v>22.614806108566921</v>
      </c>
      <c r="AT57" s="34" t="e">
        <f>#REF!</f>
        <v>#REF!</v>
      </c>
    </row>
    <row r="58" spans="1:48" s="10" customFormat="1" ht="27" customHeight="1" x14ac:dyDescent="0.3">
      <c r="A58" s="9"/>
      <c r="B58" s="118" t="s">
        <v>3</v>
      </c>
      <c r="C58" s="118"/>
      <c r="D58" s="118"/>
      <c r="E58" s="118"/>
      <c r="F58" s="118"/>
      <c r="G58" s="118"/>
      <c r="H58" s="118"/>
      <c r="I58" s="118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280758.06</v>
      </c>
      <c r="W58" s="12"/>
      <c r="X58" s="12"/>
      <c r="Y58" s="12">
        <f t="shared" si="105"/>
        <v>280758.06</v>
      </c>
      <c r="Z58" s="12">
        <v>1779977.81</v>
      </c>
      <c r="AA58" s="12">
        <v>1797400.58</v>
      </c>
      <c r="AB58" s="12">
        <v>301795.8</v>
      </c>
      <c r="AC58" s="12">
        <v>0</v>
      </c>
      <c r="AD58" s="12">
        <v>0</v>
      </c>
      <c r="AE58" s="12">
        <v>301795.8</v>
      </c>
      <c r="AF58" s="12">
        <f t="shared" si="23"/>
        <v>301795.8</v>
      </c>
      <c r="AG58" s="12">
        <f t="shared" si="10"/>
        <v>0</v>
      </c>
      <c r="AH58" s="44">
        <f t="shared" si="4"/>
        <v>-1478182.01</v>
      </c>
      <c r="AI58" s="44">
        <f t="shared" si="83"/>
        <v>16.95503159109607</v>
      </c>
      <c r="AJ58" s="12">
        <f t="shared" si="11"/>
        <v>-1495604.78</v>
      </c>
      <c r="AK58" s="44">
        <f t="shared" si="18"/>
        <v>16.790681129078081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21037.739999999991</v>
      </c>
      <c r="AQ58" s="44">
        <f t="shared" si="35"/>
        <v>107.49319182501831</v>
      </c>
      <c r="AR58" s="12">
        <f t="shared" si="79"/>
        <v>-227604.63000000006</v>
      </c>
      <c r="AS58" s="12">
        <f t="shared" si="80"/>
        <v>57.007093855212766</v>
      </c>
      <c r="AT58" s="34" t="e">
        <f>#REF!</f>
        <v>#REF!</v>
      </c>
    </row>
    <row r="59" spans="1:48" s="10" customFormat="1" ht="39" customHeight="1" x14ac:dyDescent="0.3">
      <c r="A59" s="9"/>
      <c r="B59" s="118" t="s">
        <v>2</v>
      </c>
      <c r="C59" s="118"/>
      <c r="D59" s="118"/>
      <c r="E59" s="118"/>
      <c r="F59" s="118"/>
      <c r="G59" s="118"/>
      <c r="H59" s="118"/>
      <c r="I59" s="118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3193.4</v>
      </c>
      <c r="W59" s="12"/>
      <c r="X59" s="12"/>
      <c r="Y59" s="12">
        <f t="shared" si="105"/>
        <v>3193.4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-3193.4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3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27674.33</v>
      </c>
      <c r="W61" s="12"/>
      <c r="X61" s="12"/>
      <c r="Y61" s="12">
        <f t="shared" si="105"/>
        <v>27674.33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-27674.33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8" t="s">
        <v>0</v>
      </c>
      <c r="C62" s="118"/>
      <c r="D62" s="118"/>
      <c r="E62" s="118"/>
      <c r="F62" s="118"/>
      <c r="G62" s="118"/>
      <c r="H62" s="118"/>
      <c r="I62" s="118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-1097764.69</v>
      </c>
      <c r="W62" s="12"/>
      <c r="X62" s="12"/>
      <c r="Y62" s="12">
        <f t="shared" si="105"/>
        <v>-1097764.69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-57027215.719999999</v>
      </c>
      <c r="AF62" s="12">
        <f t="shared" si="23"/>
        <v>-57027215.719999999</v>
      </c>
      <c r="AG62" s="12">
        <f t="shared" si="10"/>
        <v>0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-55929451.030000001</v>
      </c>
      <c r="AQ62" s="44">
        <f t="shared" si="35"/>
        <v>5194.8487904088079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2071113089.6151345</v>
      </c>
      <c r="L63" s="28">
        <f t="shared" si="106"/>
        <v>881017080.54999995</v>
      </c>
      <c r="M63" s="26">
        <f t="shared" si="106"/>
        <v>870445185.50554311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302199113.54999995</v>
      </c>
      <c r="W63" s="12"/>
      <c r="X63" s="12">
        <f t="shared" ref="X63:AF63" si="107">X54+X7</f>
        <v>0</v>
      </c>
      <c r="Y63" s="12">
        <f t="shared" si="107"/>
        <v>308182066.99409539</v>
      </c>
      <c r="Z63" s="12">
        <f t="shared" si="107"/>
        <v>2141993785.2600002</v>
      </c>
      <c r="AA63" s="12">
        <f t="shared" si="107"/>
        <v>2230214141.9299998</v>
      </c>
      <c r="AB63" s="12">
        <f t="shared" si="107"/>
        <v>332557977.15000004</v>
      </c>
      <c r="AC63" s="12">
        <f t="shared" si="107"/>
        <v>35889011.840000004</v>
      </c>
      <c r="AD63" s="12">
        <f t="shared" si="107"/>
        <v>40006226.189999998</v>
      </c>
      <c r="AE63" s="12">
        <f t="shared" si="107"/>
        <v>141327664.99000001</v>
      </c>
      <c r="AF63" s="12">
        <f t="shared" si="107"/>
        <v>181333891.18000001</v>
      </c>
      <c r="AG63" s="12">
        <f t="shared" si="10"/>
        <v>4117214.349999994</v>
      </c>
      <c r="AH63" s="12">
        <f t="shared" si="4"/>
        <v>-1960659894.0800002</v>
      </c>
      <c r="AI63" s="12">
        <f>AF63/Z63*100</f>
        <v>8.4656590709010526</v>
      </c>
      <c r="AJ63" s="12">
        <f>AF63-AA63</f>
        <v>-2048880250.7499998</v>
      </c>
      <c r="AK63" s="12">
        <f t="shared" si="18"/>
        <v>8.1307838458541877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-151224085.97000003</v>
      </c>
      <c r="AO63" s="12">
        <f t="shared" si="13"/>
        <v>54.527000895909794</v>
      </c>
      <c r="AP63" s="12">
        <f t="shared" si="14"/>
        <v>-126848175.81409538</v>
      </c>
      <c r="AQ63" s="12">
        <f t="shared" si="35"/>
        <v>58.839858187943904</v>
      </c>
      <c r="AR63" s="12">
        <f>AF63-M63</f>
        <v>-689111294.32554317</v>
      </c>
      <c r="AS63" s="12">
        <f>IF(M63=0,0,AF63/M63*100)</f>
        <v>20.832315945855186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308182066.99409544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141327664.99000001</v>
      </c>
      <c r="AF65" s="110">
        <v>1229277981.27</v>
      </c>
      <c r="AG65" s="95"/>
      <c r="AJ65" s="89"/>
      <c r="AK65" s="116"/>
      <c r="AL65" s="116"/>
      <c r="AM65" s="116"/>
      <c r="AN65" s="116"/>
      <c r="AO65" s="116"/>
      <c r="AP65" s="116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308182066.99409544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2024-02-09T16:35:45Z</cp:lastPrinted>
  <dcterms:created xsi:type="dcterms:W3CDTF">2018-12-30T09:36:16Z</dcterms:created>
  <dcterms:modified xsi:type="dcterms:W3CDTF">2024-02-22T12:50:52Z</dcterms:modified>
</cp:coreProperties>
</file>